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w\Desktop\DESKTOP_BACK_UP_FILES\____EMAIL_SETUP_CHOCTAW\Webinar_Comparisons\_________2017_POST_Fast_Track_Files\"/>
    </mc:Choice>
  </mc:AlternateContent>
  <bookViews>
    <workbookView xWindow="0" yWindow="0" windowWidth="24390" windowHeight="11865" tabRatio="1000"/>
  </bookViews>
  <sheets>
    <sheet name="Questionnaire" sheetId="11" r:id="rId1"/>
    <sheet name="Data for Poverty Levels" sheetId="12" r:id="rId2"/>
    <sheet name="Worksheet 1 - Demographics" sheetId="4" r:id="rId3"/>
    <sheet name="WS 2 - Estimating Poverty Level" sheetId="3" r:id="rId4"/>
    <sheet name="Worksheet 3 - Revenue" sheetId="5" r:id="rId5"/>
    <sheet name="Worksheet 4 - CHS Savings" sheetId="6" r:id="rId6"/>
    <sheet name="WS 5 - Poverty Level by Age " sheetId="7" r:id="rId7"/>
    <sheet name="Worksheet 6 - Premium Cost" sheetId="8" r:id="rId8"/>
    <sheet name="WS 7 - Other Operating Costs" sheetId="9" r:id="rId9"/>
    <sheet name="Summary Report" sheetId="13" r:id="rId10"/>
  </sheets>
  <definedNames>
    <definedName name="_ftn1" localSheetId="0">Questionnaire!$A$44</definedName>
    <definedName name="_ftnref1" localSheetId="0">Questionnaire!$A$41</definedName>
    <definedName name="_xlnm.Print_Area" localSheetId="4">'Worksheet 3 - Revenue'!$B$1:$T$30</definedName>
    <definedName name="_xlnm.Print_Area" localSheetId="5">'Worksheet 4 - CHS Savings'!$B$1:$U$35</definedName>
    <definedName name="_xlnm.Print_Area" localSheetId="8">'WS 7 - Other Operating Costs'!$A$1:$N$26</definedName>
  </definedNames>
  <calcPr calcId="152511"/>
</workbook>
</file>

<file path=xl/calcChain.xml><?xml version="1.0" encoding="utf-8"?>
<calcChain xmlns="http://schemas.openxmlformats.org/spreadsheetml/2006/main">
  <c r="AB18" i="5" l="1"/>
  <c r="AB17" i="5"/>
  <c r="AB16" i="5"/>
  <c r="I39" i="11"/>
  <c r="G39" i="11"/>
  <c r="G37" i="11"/>
  <c r="I37" i="11"/>
  <c r="I35" i="11"/>
  <c r="G35" i="11"/>
  <c r="L5" i="7" l="1"/>
  <c r="F13" i="4"/>
  <c r="J10" i="13" s="1"/>
  <c r="H16" i="5" l="1"/>
  <c r="I21" i="9"/>
  <c r="I13" i="9"/>
  <c r="I10" i="9"/>
  <c r="D13" i="7"/>
  <c r="F13" i="7" s="1"/>
  <c r="D12" i="7"/>
  <c r="F12" i="7" s="1"/>
  <c r="D11" i="7"/>
  <c r="D10" i="7"/>
  <c r="F10" i="7" s="1"/>
  <c r="D9" i="7"/>
  <c r="F9" i="7" s="1"/>
  <c r="J7" i="6"/>
  <c r="F7" i="6"/>
  <c r="L7" i="6" s="1"/>
  <c r="N7" i="6" s="1"/>
  <c r="J5" i="6"/>
  <c r="H5" i="6"/>
  <c r="F5" i="6"/>
  <c r="L5" i="6" s="1"/>
  <c r="N5" i="6" s="1"/>
  <c r="N9" i="6" s="1"/>
  <c r="H17" i="5"/>
  <c r="J16" i="5"/>
  <c r="F16" i="5"/>
  <c r="J12" i="5"/>
  <c r="H12" i="5"/>
  <c r="J11" i="5"/>
  <c r="J13" i="5" s="1"/>
  <c r="N13" i="5" s="1"/>
  <c r="H11" i="5"/>
  <c r="F11" i="5"/>
  <c r="J7" i="5"/>
  <c r="H7" i="5"/>
  <c r="F6" i="5"/>
  <c r="G12" i="4"/>
  <c r="G11" i="4"/>
  <c r="G10" i="4"/>
  <c r="E12" i="4"/>
  <c r="E11" i="4"/>
  <c r="E10" i="4"/>
  <c r="C12" i="4"/>
  <c r="C11" i="4"/>
  <c r="C10" i="4"/>
  <c r="P46" i="12"/>
  <c r="P45" i="12"/>
  <c r="P44" i="12"/>
  <c r="P43" i="12"/>
  <c r="P42" i="12"/>
  <c r="P41" i="12"/>
  <c r="P40" i="12"/>
  <c r="P38" i="12"/>
  <c r="Q46" i="12" s="1"/>
  <c r="P37" i="12"/>
  <c r="Q45" i="12" s="1"/>
  <c r="P36" i="12"/>
  <c r="Q44" i="12" s="1"/>
  <c r="P35" i="12"/>
  <c r="Q43" i="12" s="1"/>
  <c r="R43" i="12" s="1"/>
  <c r="I28" i="3" s="1"/>
  <c r="P34" i="12"/>
  <c r="Q42" i="12" s="1"/>
  <c r="P33" i="12"/>
  <c r="Q41" i="12" s="1"/>
  <c r="P32" i="12"/>
  <c r="Q40" i="12" s="1"/>
  <c r="P21" i="12"/>
  <c r="D36" i="3" s="1"/>
  <c r="P20" i="12"/>
  <c r="D35" i="3" s="1"/>
  <c r="X24" i="3" s="1"/>
  <c r="P19" i="12"/>
  <c r="D34" i="3" s="1"/>
  <c r="W24" i="3" s="1"/>
  <c r="P18" i="12"/>
  <c r="D33" i="3" s="1"/>
  <c r="V24" i="3" s="1"/>
  <c r="P17" i="12"/>
  <c r="D32" i="3" s="1"/>
  <c r="U24" i="3" s="1"/>
  <c r="P16" i="12"/>
  <c r="D31" i="3"/>
  <c r="T24" i="3" s="1"/>
  <c r="P15" i="12"/>
  <c r="D30" i="3" s="1"/>
  <c r="S24" i="3" s="1"/>
  <c r="P14" i="12"/>
  <c r="D29" i="3" s="1"/>
  <c r="R24" i="3" s="1"/>
  <c r="P13" i="12"/>
  <c r="D28" i="3" s="1"/>
  <c r="Q24" i="3" s="1"/>
  <c r="P12" i="12"/>
  <c r="D27" i="3" s="1"/>
  <c r="P24" i="3" s="1"/>
  <c r="P11" i="12"/>
  <c r="D26" i="3" s="1"/>
  <c r="O24" i="3" s="1"/>
  <c r="P10" i="12"/>
  <c r="D25" i="3" s="1"/>
  <c r="N24" i="3" s="1"/>
  <c r="P9" i="12"/>
  <c r="D24" i="3" s="1"/>
  <c r="M24" i="3" s="1"/>
  <c r="P8" i="12"/>
  <c r="D23" i="3" s="1"/>
  <c r="F11" i="7"/>
  <c r="N17" i="3"/>
  <c r="M17" i="3"/>
  <c r="L17" i="3"/>
  <c r="K17" i="3"/>
  <c r="J17" i="3"/>
  <c r="I17" i="3"/>
  <c r="H17" i="3"/>
  <c r="G17" i="3"/>
  <c r="F17" i="3"/>
  <c r="E17" i="3"/>
  <c r="N16" i="3"/>
  <c r="M16" i="3"/>
  <c r="L16" i="3"/>
  <c r="K16" i="3"/>
  <c r="J16" i="3"/>
  <c r="I16" i="3"/>
  <c r="H16" i="3"/>
  <c r="G16" i="3"/>
  <c r="F16" i="3"/>
  <c r="E16" i="3"/>
  <c r="N14" i="3"/>
  <c r="M14" i="3"/>
  <c r="L14" i="3"/>
  <c r="K14" i="3"/>
  <c r="J14" i="3"/>
  <c r="I14" i="3"/>
  <c r="H14" i="3"/>
  <c r="G14" i="3"/>
  <c r="F14" i="3"/>
  <c r="E14" i="3"/>
  <c r="N13" i="3"/>
  <c r="M13" i="3"/>
  <c r="L13" i="3"/>
  <c r="K13" i="3"/>
  <c r="J13" i="3"/>
  <c r="I13" i="3"/>
  <c r="H13" i="3"/>
  <c r="G13" i="3"/>
  <c r="F13" i="3"/>
  <c r="E13" i="3"/>
  <c r="N12" i="3"/>
  <c r="M12" i="3"/>
  <c r="L12" i="3"/>
  <c r="K12" i="3"/>
  <c r="J12" i="3"/>
  <c r="I12" i="3"/>
  <c r="H12" i="3"/>
  <c r="G12" i="3"/>
  <c r="F12" i="3"/>
  <c r="E12" i="3"/>
  <c r="N11" i="3"/>
  <c r="M11" i="3"/>
  <c r="L11" i="3"/>
  <c r="K11" i="3"/>
  <c r="J11" i="3"/>
  <c r="I11" i="3"/>
  <c r="H11" i="3"/>
  <c r="G11" i="3"/>
  <c r="F11" i="3"/>
  <c r="E11" i="3"/>
  <c r="D17" i="3"/>
  <c r="D16" i="3"/>
  <c r="D14" i="3"/>
  <c r="D13" i="3"/>
  <c r="D12" i="3"/>
  <c r="D11" i="3"/>
  <c r="C14" i="3"/>
  <c r="C13" i="3"/>
  <c r="C12" i="3"/>
  <c r="C11" i="3"/>
  <c r="C17" i="3"/>
  <c r="C16" i="3"/>
  <c r="B15" i="3"/>
  <c r="C15" i="3" s="1"/>
  <c r="H11" i="6"/>
  <c r="Y24" i="3"/>
  <c r="J18" i="5"/>
  <c r="E15" i="3"/>
  <c r="H15" i="3"/>
  <c r="F15" i="3"/>
  <c r="D15" i="3"/>
  <c r="I15" i="9"/>
  <c r="R41" i="12" l="1"/>
  <c r="I26" i="3" s="1"/>
  <c r="R45" i="12"/>
  <c r="I30" i="3" s="1"/>
  <c r="H13" i="5"/>
  <c r="H18" i="5"/>
  <c r="L18" i="5" s="1"/>
  <c r="N18" i="5"/>
  <c r="N15" i="3"/>
  <c r="J15" i="3"/>
  <c r="K15" i="3"/>
  <c r="G15" i="3"/>
  <c r="M15" i="3"/>
  <c r="I15" i="3"/>
  <c r="L15" i="3"/>
  <c r="J6" i="5"/>
  <c r="J8" i="5" s="1"/>
  <c r="N8" i="5" s="1"/>
  <c r="H6" i="5"/>
  <c r="H8" i="5" s="1"/>
  <c r="E13" i="4"/>
  <c r="L16" i="5"/>
  <c r="F9" i="6"/>
  <c r="L13" i="5"/>
  <c r="L11" i="5"/>
  <c r="F15" i="7"/>
  <c r="G9" i="7" s="1"/>
  <c r="G13" i="4"/>
  <c r="C13" i="4"/>
  <c r="R40" i="12"/>
  <c r="I25" i="3" s="1"/>
  <c r="R42" i="12"/>
  <c r="I27" i="3" s="1"/>
  <c r="R44" i="12"/>
  <c r="I29" i="3" s="1"/>
  <c r="R46" i="12"/>
  <c r="I31" i="3" s="1"/>
  <c r="L24" i="3"/>
  <c r="D37" i="3"/>
  <c r="L6" i="5" l="1"/>
  <c r="L8" i="5"/>
  <c r="F11" i="6"/>
  <c r="L11" i="6" s="1"/>
  <c r="N11" i="6" s="1"/>
  <c r="L13" i="6" s="1"/>
  <c r="L9" i="6"/>
  <c r="K8" i="9"/>
  <c r="K21" i="9" s="1"/>
  <c r="L9" i="7"/>
  <c r="M8" i="9"/>
  <c r="M10" i="9" s="1"/>
  <c r="Q23" i="5"/>
  <c r="H10" i="13"/>
  <c r="N23" i="5"/>
  <c r="L15" i="6"/>
  <c r="G12" i="7"/>
  <c r="G11" i="7"/>
  <c r="G10" i="7"/>
  <c r="G13" i="7"/>
  <c r="L10" i="13"/>
  <c r="N5" i="7"/>
  <c r="L23" i="6"/>
  <c r="N9" i="7"/>
  <c r="J5" i="7"/>
  <c r="I32" i="3"/>
  <c r="K29" i="3" s="1"/>
  <c r="P29" i="3" s="1"/>
  <c r="E25" i="3"/>
  <c r="E28" i="3"/>
  <c r="E31" i="3"/>
  <c r="E34" i="3"/>
  <c r="E24" i="3"/>
  <c r="E30" i="3"/>
  <c r="E23" i="3"/>
  <c r="E36" i="3"/>
  <c r="E26" i="3"/>
  <c r="E29" i="3"/>
  <c r="E32" i="3"/>
  <c r="E33" i="3"/>
  <c r="E27" i="3"/>
  <c r="E35" i="3"/>
  <c r="K10" i="9" l="1"/>
  <c r="L12" i="7"/>
  <c r="H37" i="7" s="1"/>
  <c r="N25" i="6"/>
  <c r="L32" i="13" s="1"/>
  <c r="J12" i="7"/>
  <c r="H22" i="7" s="1"/>
  <c r="N10" i="7"/>
  <c r="F52" i="7" s="1"/>
  <c r="N17" i="6"/>
  <c r="J32" i="13" s="1"/>
  <c r="L11" i="7"/>
  <c r="G37" i="7" s="1"/>
  <c r="L10" i="7"/>
  <c r="F37" i="7" s="1"/>
  <c r="N12" i="7"/>
  <c r="H52" i="7" s="1"/>
  <c r="J13" i="7"/>
  <c r="I22" i="7" s="1"/>
  <c r="N11" i="7"/>
  <c r="G52" i="7" s="1"/>
  <c r="G15" i="7"/>
  <c r="J11" i="7"/>
  <c r="G22" i="7" s="1"/>
  <c r="L13" i="7"/>
  <c r="I37" i="7" s="1"/>
  <c r="N13" i="7"/>
  <c r="I52" i="7" s="1"/>
  <c r="E52" i="7"/>
  <c r="E37" i="7"/>
  <c r="J9" i="7"/>
  <c r="E22" i="7" s="1"/>
  <c r="J10" i="7"/>
  <c r="F22" i="7" s="1"/>
  <c r="Q29" i="3"/>
  <c r="C46" i="3" s="1"/>
  <c r="M29" i="3"/>
  <c r="L29" i="3"/>
  <c r="Y29" i="3"/>
  <c r="O46" i="3" s="1"/>
  <c r="W29" i="3"/>
  <c r="K31" i="3"/>
  <c r="K26" i="3"/>
  <c r="K30" i="3"/>
  <c r="K25" i="3"/>
  <c r="K27" i="3"/>
  <c r="K28" i="3"/>
  <c r="T29" i="3"/>
  <c r="V29" i="3"/>
  <c r="O29" i="3"/>
  <c r="N29" i="3"/>
  <c r="U29" i="3"/>
  <c r="G46" i="3" s="1"/>
  <c r="X29" i="3"/>
  <c r="N46" i="3" s="1"/>
  <c r="R29" i="3"/>
  <c r="D46" i="3" s="1"/>
  <c r="S29" i="3"/>
  <c r="E46" i="3" s="1"/>
  <c r="E37" i="3"/>
  <c r="B46" i="3"/>
  <c r="H32" i="13" l="1"/>
  <c r="J52" i="7"/>
  <c r="J37" i="7"/>
  <c r="L15" i="7"/>
  <c r="N15" i="7"/>
  <c r="J15" i="7"/>
  <c r="J22" i="7"/>
  <c r="Z29" i="3"/>
  <c r="F46" i="3"/>
  <c r="U27" i="3"/>
  <c r="P27" i="3"/>
  <c r="D44" i="3" s="1"/>
  <c r="X27" i="3"/>
  <c r="O27" i="3"/>
  <c r="N27" i="3"/>
  <c r="S27" i="3"/>
  <c r="R27" i="3"/>
  <c r="F44" i="3" s="1"/>
  <c r="T27" i="3"/>
  <c r="Y27" i="3"/>
  <c r="Q27" i="3"/>
  <c r="E44" i="3" s="1"/>
  <c r="L27" i="3"/>
  <c r="V27" i="3"/>
  <c r="M27" i="3"/>
  <c r="W27" i="3"/>
  <c r="W30" i="3"/>
  <c r="T30" i="3"/>
  <c r="V30" i="3"/>
  <c r="S30" i="3"/>
  <c r="D47" i="3" s="1"/>
  <c r="N30" i="3"/>
  <c r="U30" i="3"/>
  <c r="F47" i="3" s="1"/>
  <c r="Q30" i="3"/>
  <c r="R30" i="3"/>
  <c r="O30" i="3"/>
  <c r="M30" i="3"/>
  <c r="P30" i="3"/>
  <c r="Y30" i="3"/>
  <c r="O47" i="3" s="1"/>
  <c r="X30" i="3"/>
  <c r="L30" i="3"/>
  <c r="V31" i="3"/>
  <c r="N31" i="3"/>
  <c r="X31" i="3"/>
  <c r="U31" i="3"/>
  <c r="E48" i="3" s="1"/>
  <c r="W31" i="3"/>
  <c r="Q31" i="3"/>
  <c r="M31" i="3"/>
  <c r="P31" i="3"/>
  <c r="R31" i="3"/>
  <c r="S31" i="3"/>
  <c r="Y31" i="3"/>
  <c r="O31" i="3"/>
  <c r="T31" i="3"/>
  <c r="D48" i="3" s="1"/>
  <c r="L31" i="3"/>
  <c r="I46" i="3"/>
  <c r="H46" i="3"/>
  <c r="R28" i="3"/>
  <c r="E45" i="3" s="1"/>
  <c r="Q28" i="3"/>
  <c r="D45" i="3" s="1"/>
  <c r="P28" i="3"/>
  <c r="C45" i="3" s="1"/>
  <c r="V28" i="3"/>
  <c r="U28" i="3"/>
  <c r="W28" i="3"/>
  <c r="S28" i="3"/>
  <c r="F45" i="3" s="1"/>
  <c r="O28" i="3"/>
  <c r="N28" i="3"/>
  <c r="Y28" i="3"/>
  <c r="X28" i="3"/>
  <c r="T28" i="3"/>
  <c r="G45" i="3" s="1"/>
  <c r="M28" i="3"/>
  <c r="L28" i="3"/>
  <c r="T25" i="3"/>
  <c r="P25" i="3"/>
  <c r="Y25" i="3"/>
  <c r="Q25" i="3"/>
  <c r="R25" i="3"/>
  <c r="V25" i="3"/>
  <c r="M25" i="3"/>
  <c r="N25" i="3"/>
  <c r="O25" i="3"/>
  <c r="X25" i="3"/>
  <c r="U25" i="3"/>
  <c r="W25" i="3"/>
  <c r="S25" i="3"/>
  <c r="L25" i="3"/>
  <c r="K32" i="3"/>
  <c r="M26" i="3"/>
  <c r="N26" i="3"/>
  <c r="S26" i="3"/>
  <c r="J43" i="3" s="1"/>
  <c r="V26" i="3"/>
  <c r="P26" i="3"/>
  <c r="O26" i="3"/>
  <c r="D43" i="3" s="1"/>
  <c r="Y26" i="3"/>
  <c r="Q26" i="3"/>
  <c r="G43" i="3" s="1"/>
  <c r="T26" i="3"/>
  <c r="K43" i="3" s="1"/>
  <c r="W26" i="3"/>
  <c r="X26" i="3"/>
  <c r="U26" i="3"/>
  <c r="R26" i="3"/>
  <c r="L26" i="3"/>
  <c r="L46" i="3"/>
  <c r="J46" i="3"/>
  <c r="M46" i="3"/>
  <c r="K46" i="3"/>
  <c r="C44" i="3" l="1"/>
  <c r="O45" i="3"/>
  <c r="Y32" i="3"/>
  <c r="P46" i="3"/>
  <c r="C48" i="3"/>
  <c r="C47" i="3"/>
  <c r="N43" i="3"/>
  <c r="L43" i="3"/>
  <c r="M43" i="3"/>
  <c r="C43" i="3"/>
  <c r="S32" i="3"/>
  <c r="N42" i="3"/>
  <c r="F42" i="3"/>
  <c r="G42" i="3"/>
  <c r="C42" i="3"/>
  <c r="M32" i="3"/>
  <c r="M42" i="3"/>
  <c r="R32" i="3"/>
  <c r="L42" i="3"/>
  <c r="O42" i="3"/>
  <c r="T32" i="3"/>
  <c r="N32" i="3"/>
  <c r="H45" i="3"/>
  <c r="I45" i="3"/>
  <c r="N48" i="3"/>
  <c r="O48" i="3"/>
  <c r="H43" i="3"/>
  <c r="I43" i="3"/>
  <c r="F43" i="3"/>
  <c r="E43" i="3"/>
  <c r="L32" i="3"/>
  <c r="Z25" i="3"/>
  <c r="B42" i="3"/>
  <c r="W32" i="3"/>
  <c r="X32" i="3"/>
  <c r="E42" i="3"/>
  <c r="D42" i="3"/>
  <c r="D49" i="3" s="1"/>
  <c r="D50" i="3" s="1"/>
  <c r="D51" i="3" s="1"/>
  <c r="V32" i="3"/>
  <c r="K42" i="3"/>
  <c r="J42" i="3"/>
  <c r="Q32" i="3"/>
  <c r="P32" i="3"/>
  <c r="I42" i="3"/>
  <c r="H42" i="3"/>
  <c r="Z28" i="3"/>
  <c r="B45" i="3"/>
  <c r="O32" i="3"/>
  <c r="L45" i="3"/>
  <c r="N45" i="3"/>
  <c r="M45" i="3"/>
  <c r="J45" i="3"/>
  <c r="K45" i="3"/>
  <c r="Z31" i="3"/>
  <c r="B48" i="3"/>
  <c r="Z30" i="3"/>
  <c r="B47" i="3"/>
  <c r="E47" i="3"/>
  <c r="O44" i="3"/>
  <c r="N44" i="3"/>
  <c r="M44" i="3"/>
  <c r="L44" i="3"/>
  <c r="I44" i="3"/>
  <c r="G44" i="3"/>
  <c r="H44" i="3"/>
  <c r="B43" i="3"/>
  <c r="Z26" i="3"/>
  <c r="O43" i="3"/>
  <c r="U32" i="3"/>
  <c r="H48" i="3"/>
  <c r="I48" i="3"/>
  <c r="J48" i="3"/>
  <c r="K48" i="3"/>
  <c r="M48" i="3"/>
  <c r="L48" i="3"/>
  <c r="G48" i="3"/>
  <c r="F48" i="3"/>
  <c r="L47" i="3"/>
  <c r="M47" i="3"/>
  <c r="N47" i="3"/>
  <c r="H47" i="3"/>
  <c r="G47" i="3"/>
  <c r="I47" i="3"/>
  <c r="K47" i="3"/>
  <c r="J47" i="3"/>
  <c r="B44" i="3"/>
  <c r="Z27" i="3"/>
  <c r="J44" i="3"/>
  <c r="K44" i="3"/>
  <c r="P44" i="3" l="1"/>
  <c r="C49" i="3"/>
  <c r="C50" i="3" s="1"/>
  <c r="D16" i="4" s="1"/>
  <c r="F16" i="4" s="1"/>
  <c r="I49" i="3"/>
  <c r="I50" i="3" s="1"/>
  <c r="M49" i="3"/>
  <c r="M50" i="3" s="1"/>
  <c r="O49" i="3"/>
  <c r="O50" i="3" s="1"/>
  <c r="P47" i="3"/>
  <c r="P48" i="3"/>
  <c r="P45" i="3"/>
  <c r="J49" i="3"/>
  <c r="J50" i="3" s="1"/>
  <c r="I51" i="3" s="1"/>
  <c r="E49" i="3"/>
  <c r="E50" i="3" s="1"/>
  <c r="G49" i="3"/>
  <c r="G50" i="3" s="1"/>
  <c r="N49" i="3"/>
  <c r="N50" i="3" s="1"/>
  <c r="M51" i="3" s="1"/>
  <c r="P43" i="3"/>
  <c r="K49" i="3"/>
  <c r="K50" i="3" s="1"/>
  <c r="C25" i="7"/>
  <c r="C40" i="7"/>
  <c r="D17" i="4"/>
  <c r="F17" i="4" s="1"/>
  <c r="C55" i="7"/>
  <c r="P42" i="3"/>
  <c r="B49" i="3"/>
  <c r="B50" i="3" s="1"/>
  <c r="Z32" i="3"/>
  <c r="H49" i="3"/>
  <c r="H50" i="3" s="1"/>
  <c r="L49" i="3"/>
  <c r="L50" i="3" s="1"/>
  <c r="F49" i="3"/>
  <c r="F50" i="3" s="1"/>
  <c r="P49" i="3" l="1"/>
  <c r="D15" i="4"/>
  <c r="C53" i="7"/>
  <c r="C23" i="7"/>
  <c r="C38" i="7"/>
  <c r="G51" i="3"/>
  <c r="D19" i="4" s="1"/>
  <c r="F19" i="4" s="1"/>
  <c r="C27" i="7"/>
  <c r="P50" i="3"/>
  <c r="B51" i="3"/>
  <c r="K51" i="3"/>
  <c r="K52" i="3"/>
  <c r="C45" i="7"/>
  <c r="C60" i="7"/>
  <c r="C30" i="7"/>
  <c r="D22" i="4"/>
  <c r="F22" i="4" s="1"/>
  <c r="E17" i="4"/>
  <c r="C17" i="4"/>
  <c r="G17" i="4"/>
  <c r="H40" i="7"/>
  <c r="E34" i="8" s="1"/>
  <c r="H25" i="7"/>
  <c r="E21" i="8" s="1"/>
  <c r="E40" i="7"/>
  <c r="H55" i="7"/>
  <c r="E47" i="8" s="1"/>
  <c r="F55" i="7"/>
  <c r="C47" i="8" s="1"/>
  <c r="F25" i="7"/>
  <c r="C21" i="8" s="1"/>
  <c r="G40" i="7"/>
  <c r="D34" i="8" s="1"/>
  <c r="G55" i="7"/>
  <c r="D47" i="8" s="1"/>
  <c r="I55" i="7"/>
  <c r="F47" i="8" s="1"/>
  <c r="I25" i="7"/>
  <c r="F21" i="8" s="1"/>
  <c r="I40" i="7"/>
  <c r="F34" i="8" s="1"/>
  <c r="E55" i="7"/>
  <c r="G25" i="7"/>
  <c r="D21" i="8" s="1"/>
  <c r="E25" i="7"/>
  <c r="F40" i="7"/>
  <c r="C34" i="8" s="1"/>
  <c r="C28" i="7"/>
  <c r="D20" i="4"/>
  <c r="F20" i="4" s="1"/>
  <c r="C43" i="7"/>
  <c r="C58" i="7"/>
  <c r="E51" i="3"/>
  <c r="E23" i="7" l="1"/>
  <c r="G23" i="7"/>
  <c r="D19" i="8" s="1"/>
  <c r="I23" i="7"/>
  <c r="F19" i="8" s="1"/>
  <c r="H23" i="7"/>
  <c r="E19" i="8" s="1"/>
  <c r="F23" i="7"/>
  <c r="C19" i="8" s="1"/>
  <c r="F15" i="4"/>
  <c r="C15" i="4"/>
  <c r="G15" i="4"/>
  <c r="E15" i="4"/>
  <c r="I38" i="7"/>
  <c r="F32" i="8" s="1"/>
  <c r="F38" i="7"/>
  <c r="C32" i="8" s="1"/>
  <c r="H38" i="7"/>
  <c r="E32" i="8" s="1"/>
  <c r="E38" i="7"/>
  <c r="G38" i="7"/>
  <c r="D32" i="8" s="1"/>
  <c r="H53" i="7"/>
  <c r="E45" i="8" s="1"/>
  <c r="F53" i="7"/>
  <c r="C45" i="8" s="1"/>
  <c r="E53" i="7"/>
  <c r="I53" i="7"/>
  <c r="F45" i="8" s="1"/>
  <c r="G53" i="7"/>
  <c r="D45" i="8" s="1"/>
  <c r="C42" i="7"/>
  <c r="C57" i="7"/>
  <c r="E20" i="4"/>
  <c r="C20" i="4"/>
  <c r="B34" i="8"/>
  <c r="G34" i="8" s="1"/>
  <c r="J40" i="7"/>
  <c r="G22" i="4"/>
  <c r="C22" i="4"/>
  <c r="E22" i="4"/>
  <c r="D21" i="4"/>
  <c r="F21" i="4" s="1"/>
  <c r="C59" i="7"/>
  <c r="C44" i="7"/>
  <c r="C29" i="7"/>
  <c r="C24" i="7"/>
  <c r="C54" i="7"/>
  <c r="C39" i="7"/>
  <c r="G42" i="7"/>
  <c r="D36" i="8" s="1"/>
  <c r="H57" i="7"/>
  <c r="E49" i="8" s="1"/>
  <c r="H42" i="7"/>
  <c r="E36" i="8" s="1"/>
  <c r="F57" i="7"/>
  <c r="C49" i="8" s="1"/>
  <c r="I57" i="7"/>
  <c r="F49" i="8" s="1"/>
  <c r="H27" i="7"/>
  <c r="E23" i="8" s="1"/>
  <c r="I42" i="7"/>
  <c r="F36" i="8" s="1"/>
  <c r="E27" i="7"/>
  <c r="F42" i="7"/>
  <c r="C36" i="8" s="1"/>
  <c r="E42" i="7"/>
  <c r="G27" i="7"/>
  <c r="D23" i="8" s="1"/>
  <c r="G57" i="7"/>
  <c r="D49" i="8" s="1"/>
  <c r="I27" i="7"/>
  <c r="F23" i="8" s="1"/>
  <c r="E57" i="7"/>
  <c r="F27" i="7"/>
  <c r="C23" i="8" s="1"/>
  <c r="D18" i="4"/>
  <c r="F18" i="4" s="1"/>
  <c r="F23" i="4" s="1"/>
  <c r="C41" i="7"/>
  <c r="C56" i="7"/>
  <c r="C26" i="7"/>
  <c r="H58" i="7"/>
  <c r="E50" i="8" s="1"/>
  <c r="E28" i="7"/>
  <c r="F58" i="7"/>
  <c r="C50" i="8" s="1"/>
  <c r="G28" i="7"/>
  <c r="D24" i="8" s="1"/>
  <c r="G58" i="7"/>
  <c r="D50" i="8" s="1"/>
  <c r="E43" i="7"/>
  <c r="G43" i="7"/>
  <c r="D37" i="8" s="1"/>
  <c r="I58" i="7"/>
  <c r="F50" i="8" s="1"/>
  <c r="I43" i="7"/>
  <c r="F37" i="8" s="1"/>
  <c r="E58" i="7"/>
  <c r="F43" i="7"/>
  <c r="C37" i="8" s="1"/>
  <c r="H28" i="7"/>
  <c r="E24" i="8" s="1"/>
  <c r="I28" i="7"/>
  <c r="F24" i="8" s="1"/>
  <c r="F28" i="7"/>
  <c r="C24" i="8" s="1"/>
  <c r="H43" i="7"/>
  <c r="E37" i="8" s="1"/>
  <c r="J25" i="7"/>
  <c r="B21" i="8"/>
  <c r="G21" i="8" s="1"/>
  <c r="J55" i="7"/>
  <c r="B47" i="8"/>
  <c r="G47" i="8" s="1"/>
  <c r="H45" i="7"/>
  <c r="E39" i="8" s="1"/>
  <c r="G30" i="7"/>
  <c r="D26" i="8" s="1"/>
  <c r="I60" i="7"/>
  <c r="F52" i="8" s="1"/>
  <c r="I45" i="7"/>
  <c r="F39" i="8" s="1"/>
  <c r="G45" i="7"/>
  <c r="D39" i="8" s="1"/>
  <c r="G60" i="7"/>
  <c r="D52" i="8" s="1"/>
  <c r="H60" i="7"/>
  <c r="E52" i="8" s="1"/>
  <c r="E60" i="7"/>
  <c r="F30" i="7"/>
  <c r="C26" i="8" s="1"/>
  <c r="F45" i="7"/>
  <c r="C39" i="8" s="1"/>
  <c r="E45" i="7"/>
  <c r="H30" i="7"/>
  <c r="E26" i="8" s="1"/>
  <c r="F60" i="7"/>
  <c r="C52" i="8" s="1"/>
  <c r="E30" i="7"/>
  <c r="I30" i="7"/>
  <c r="F26" i="8" s="1"/>
  <c r="E19" i="4"/>
  <c r="C19" i="4"/>
  <c r="G19" i="4"/>
  <c r="B45" i="8" l="1"/>
  <c r="G45" i="8" s="1"/>
  <c r="J53" i="7"/>
  <c r="J38" i="7"/>
  <c r="B32" i="8"/>
  <c r="G32" i="8" s="1"/>
  <c r="J23" i="7"/>
  <c r="B19" i="8"/>
  <c r="G19" i="8" s="1"/>
  <c r="J30" i="7"/>
  <c r="B26" i="8"/>
  <c r="G26" i="8" s="1"/>
  <c r="J45" i="7"/>
  <c r="B39" i="8"/>
  <c r="G39" i="8" s="1"/>
  <c r="B50" i="8"/>
  <c r="G50" i="8" s="1"/>
  <c r="J58" i="7"/>
  <c r="B37" i="8"/>
  <c r="G37" i="8" s="1"/>
  <c r="J43" i="7"/>
  <c r="J28" i="7"/>
  <c r="B24" i="8"/>
  <c r="G24" i="8" s="1"/>
  <c r="H56" i="7"/>
  <c r="E48" i="8" s="1"/>
  <c r="H26" i="7"/>
  <c r="E22" i="8" s="1"/>
  <c r="I56" i="7"/>
  <c r="F48" i="8" s="1"/>
  <c r="H41" i="7"/>
  <c r="E35" i="8" s="1"/>
  <c r="F56" i="7"/>
  <c r="C48" i="8" s="1"/>
  <c r="I26" i="7"/>
  <c r="F22" i="8" s="1"/>
  <c r="E41" i="7"/>
  <c r="E26" i="7"/>
  <c r="G56" i="7"/>
  <c r="D48" i="8" s="1"/>
  <c r="I41" i="7"/>
  <c r="F35" i="8" s="1"/>
  <c r="E56" i="7"/>
  <c r="G41" i="7"/>
  <c r="D35" i="8" s="1"/>
  <c r="F41" i="7"/>
  <c r="C35" i="8" s="1"/>
  <c r="F26" i="7"/>
  <c r="C22" i="8" s="1"/>
  <c r="G26" i="7"/>
  <c r="D22" i="8" s="1"/>
  <c r="C61" i="7"/>
  <c r="G16" i="4"/>
  <c r="E16" i="4"/>
  <c r="D23" i="4"/>
  <c r="C16" i="4"/>
  <c r="C21" i="4"/>
  <c r="E21" i="4"/>
  <c r="G21" i="4"/>
  <c r="J60" i="7"/>
  <c r="B52" i="8"/>
  <c r="G52" i="8" s="1"/>
  <c r="E18" i="4"/>
  <c r="C18" i="4"/>
  <c r="G18" i="4"/>
  <c r="B49" i="8"/>
  <c r="G49" i="8" s="1"/>
  <c r="J57" i="7"/>
  <c r="B36" i="8"/>
  <c r="G36" i="8" s="1"/>
  <c r="J42" i="7"/>
  <c r="J27" i="7"/>
  <c r="B23" i="8"/>
  <c r="G23" i="8" s="1"/>
  <c r="C46" i="7"/>
  <c r="C31" i="7"/>
  <c r="G39" i="7"/>
  <c r="F24" i="7"/>
  <c r="E39" i="7"/>
  <c r="H39" i="7"/>
  <c r="G54" i="7"/>
  <c r="E54" i="7"/>
  <c r="F39" i="7"/>
  <c r="H54" i="7"/>
  <c r="E24" i="7"/>
  <c r="I24" i="7"/>
  <c r="G24" i="7"/>
  <c r="H24" i="7"/>
  <c r="F54" i="7"/>
  <c r="I54" i="7"/>
  <c r="I39" i="7"/>
  <c r="G44" i="7"/>
  <c r="D38" i="8" s="1"/>
  <c r="H59" i="7"/>
  <c r="E51" i="8" s="1"/>
  <c r="E59" i="7"/>
  <c r="I29" i="7"/>
  <c r="F25" i="8" s="1"/>
  <c r="I59" i="7"/>
  <c r="F51" i="8" s="1"/>
  <c r="H29" i="7"/>
  <c r="E25" i="8" s="1"/>
  <c r="E29" i="7"/>
  <c r="I44" i="7"/>
  <c r="F38" i="8" s="1"/>
  <c r="E44" i="7"/>
  <c r="G59" i="7"/>
  <c r="D51" i="8" s="1"/>
  <c r="F29" i="7"/>
  <c r="C25" i="8" s="1"/>
  <c r="H44" i="7"/>
  <c r="E38" i="8" s="1"/>
  <c r="G29" i="7"/>
  <c r="D25" i="8" s="1"/>
  <c r="F59" i="7"/>
  <c r="C51" i="8" s="1"/>
  <c r="F44" i="7"/>
  <c r="C38" i="8" s="1"/>
  <c r="F33" i="8" l="1"/>
  <c r="F40" i="8" s="1"/>
  <c r="I46" i="7"/>
  <c r="C46" i="8"/>
  <c r="C53" i="8" s="1"/>
  <c r="F61" i="7"/>
  <c r="G31" i="7"/>
  <c r="D20" i="8"/>
  <c r="D27" i="8" s="1"/>
  <c r="B20" i="8"/>
  <c r="E31" i="7"/>
  <c r="J24" i="7"/>
  <c r="F46" i="7"/>
  <c r="C33" i="8"/>
  <c r="C40" i="8" s="1"/>
  <c r="D46" i="8"/>
  <c r="D53" i="8" s="1"/>
  <c r="G61" i="7"/>
  <c r="J39" i="7"/>
  <c r="B33" i="8"/>
  <c r="E46" i="7"/>
  <c r="D33" i="8"/>
  <c r="D40" i="8" s="1"/>
  <c r="G46" i="7"/>
  <c r="L14" i="13"/>
  <c r="G23" i="4"/>
  <c r="B48" i="8"/>
  <c r="G48" i="8" s="1"/>
  <c r="J56" i="7"/>
  <c r="J41" i="7"/>
  <c r="B35" i="8"/>
  <c r="G35" i="8" s="1"/>
  <c r="J44" i="7"/>
  <c r="B38" i="8"/>
  <c r="G38" i="8" s="1"/>
  <c r="J29" i="7"/>
  <c r="B25" i="8"/>
  <c r="G25" i="8" s="1"/>
  <c r="B51" i="8"/>
  <c r="G51" i="8" s="1"/>
  <c r="J59" i="7"/>
  <c r="F46" i="8"/>
  <c r="F53" i="8" s="1"/>
  <c r="I61" i="7"/>
  <c r="E20" i="8"/>
  <c r="E27" i="8" s="1"/>
  <c r="H31" i="7"/>
  <c r="F20" i="8"/>
  <c r="F27" i="8" s="1"/>
  <c r="I31" i="7"/>
  <c r="H61" i="7"/>
  <c r="E46" i="8"/>
  <c r="E53" i="8" s="1"/>
  <c r="B46" i="8"/>
  <c r="E61" i="7"/>
  <c r="J54" i="7"/>
  <c r="E33" i="8"/>
  <c r="E40" i="8" s="1"/>
  <c r="H46" i="7"/>
  <c r="F31" i="7"/>
  <c r="C20" i="8"/>
  <c r="C27" i="8" s="1"/>
  <c r="H14" i="13"/>
  <c r="C23" i="4"/>
  <c r="J14" i="13"/>
  <c r="E23" i="4"/>
  <c r="B22" i="8"/>
  <c r="G22" i="8" s="1"/>
  <c r="J26" i="7"/>
  <c r="J46" i="7" l="1"/>
  <c r="J31" i="7"/>
  <c r="J61" i="7"/>
  <c r="P27" i="5"/>
  <c r="J30" i="13" s="1"/>
  <c r="P26" i="5"/>
  <c r="N26" i="5"/>
  <c r="N27" i="5"/>
  <c r="H30" i="13" s="1"/>
  <c r="B53" i="8"/>
  <c r="G46" i="8"/>
  <c r="Q27" i="5"/>
  <c r="L30" i="13" s="1"/>
  <c r="Q26" i="5"/>
  <c r="B40" i="8"/>
  <c r="G33" i="8"/>
  <c r="B27" i="8"/>
  <c r="G20" i="8"/>
  <c r="G40" i="8" l="1"/>
  <c r="J19" i="13" s="1"/>
  <c r="G53" i="8"/>
  <c r="L19" i="13" s="1"/>
  <c r="G27" i="8"/>
  <c r="H19" i="13" s="1"/>
  <c r="L28" i="13"/>
  <c r="L34" i="13" s="1"/>
  <c r="Q28" i="5"/>
  <c r="Q30" i="5" s="1"/>
  <c r="M17" i="9" s="1"/>
  <c r="M19" i="9" s="1"/>
  <c r="J28" i="13"/>
  <c r="J34" i="13" s="1"/>
  <c r="P28" i="5"/>
  <c r="P30" i="5" s="1"/>
  <c r="K17" i="9" s="1"/>
  <c r="K19" i="9" s="1"/>
  <c r="K23" i="9" s="1"/>
  <c r="J21" i="13" s="1"/>
  <c r="N28" i="5"/>
  <c r="N30" i="5" s="1"/>
  <c r="I17" i="9" s="1"/>
  <c r="I19" i="9" s="1"/>
  <c r="H28" i="13"/>
  <c r="H34" i="13" s="1"/>
  <c r="J23" i="13" l="1"/>
  <c r="J36" i="13" s="1"/>
  <c r="I23" i="9"/>
  <c r="H21" i="13" s="1"/>
  <c r="H23" i="13" s="1"/>
  <c r="M21" i="9"/>
  <c r="M23" i="9" s="1"/>
  <c r="L21" i="13" s="1"/>
  <c r="L23" i="13" s="1"/>
  <c r="J41" i="13" l="1"/>
  <c r="L41" i="13"/>
  <c r="L36" i="13"/>
  <c r="H41" i="13"/>
  <c r="H36" i="13"/>
</calcChain>
</file>

<file path=xl/comments1.xml><?xml version="1.0" encoding="utf-8"?>
<comments xmlns="http://schemas.openxmlformats.org/spreadsheetml/2006/main">
  <authors>
    <author>Dale Nachreiner</author>
  </authors>
  <commentList>
    <comment ref="B5" authorId="0" shapeId="0">
      <text>
        <r>
          <rPr>
            <b/>
            <sz val="9"/>
            <color indexed="81"/>
            <rFont val="Tahoma"/>
            <family val="2"/>
          </rPr>
          <t>Dale Nachreiner:</t>
        </r>
        <r>
          <rPr>
            <sz val="9"/>
            <color indexed="81"/>
            <rFont val="Tahoma"/>
            <family val="2"/>
          </rPr>
          <t xml:space="preserve">
Could be divided into in-patient and outpatient</t>
        </r>
      </text>
    </comment>
  </commentList>
</comments>
</file>

<file path=xl/sharedStrings.xml><?xml version="1.0" encoding="utf-8"?>
<sst xmlns="http://schemas.openxmlformats.org/spreadsheetml/2006/main" count="458" uniqueCount="277">
  <si>
    <t>Family Size</t>
  </si>
  <si>
    <t>Total</t>
  </si>
  <si>
    <t>Household size</t>
  </si>
  <si>
    <t>1 person</t>
  </si>
  <si>
    <t>2 people</t>
  </si>
  <si>
    <t>3 people</t>
  </si>
  <si>
    <t>%</t>
  </si>
  <si>
    <t>400+%</t>
  </si>
  <si>
    <t>100% poverty level:  10,830  for first person</t>
  </si>
  <si>
    <t>$3,740 for each additional person</t>
  </si>
  <si>
    <t>Family of Four:  $22,050</t>
  </si>
  <si>
    <t>5 people</t>
  </si>
  <si>
    <t>4 people</t>
  </si>
  <si>
    <t>6 people</t>
  </si>
  <si>
    <t>7 people</t>
  </si>
  <si>
    <t xml:space="preserve">  Less than $10,000</t>
  </si>
  <si>
    <t xml:space="preserve">  $10,000 to $14,999</t>
  </si>
  <si>
    <t xml:space="preserve">  $15,000 to $19,999</t>
  </si>
  <si>
    <t xml:space="preserve">  $20,000 to $24,999</t>
  </si>
  <si>
    <t xml:space="preserve">  $25,000 to $29,999</t>
  </si>
  <si>
    <t xml:space="preserve">  $30,000 to $34,999</t>
  </si>
  <si>
    <t xml:space="preserve">  $35,000 to $39,999</t>
  </si>
  <si>
    <t xml:space="preserve">  $40,000 to $44,999</t>
  </si>
  <si>
    <t xml:space="preserve">  $45,000 to $49,999</t>
  </si>
  <si>
    <t xml:space="preserve">  $50,000 to $59,999</t>
  </si>
  <si>
    <t xml:space="preserve">  $60,000 to $74,999</t>
  </si>
  <si>
    <t xml:space="preserve">  $75,000 to $99,999</t>
  </si>
  <si>
    <t xml:space="preserve">  $100,000 to $124,999</t>
  </si>
  <si>
    <t xml:space="preserve">  $125,000 or more</t>
  </si>
  <si>
    <t>Approximate poverty levels for 2010</t>
  </si>
  <si>
    <t>Owner &amp; Renter</t>
  </si>
  <si>
    <t>Tribal Service Area Household Income where the householder is AI/AN</t>
  </si>
  <si>
    <t>Worksheet # 2 -- Estimating Poverty Level for Study</t>
  </si>
  <si>
    <t>Household Income Levels</t>
  </si>
  <si>
    <t xml:space="preserve">Uninsured Active Users </t>
  </si>
  <si>
    <t>Worksheet 1: Case Study Demographics and Poverty Level Data</t>
  </si>
  <si>
    <t>CHS Eligible</t>
  </si>
  <si>
    <t>Number of uninsured active users</t>
  </si>
  <si>
    <t>Less:  Children less than 19 y/o</t>
  </si>
  <si>
    <t>Less:  Adults 65 y/o and older</t>
  </si>
  <si>
    <t xml:space="preserve">     151 - 200% poverty level</t>
  </si>
  <si>
    <t xml:space="preserve">     201 - 250% poverty level</t>
  </si>
  <si>
    <t xml:space="preserve">     251-300% poverty level</t>
  </si>
  <si>
    <t xml:space="preserve">     301 - 400% poverty level</t>
  </si>
  <si>
    <t xml:space="preserve">     over 400% poverty level</t>
  </si>
  <si>
    <t>(Tribe's Name)</t>
  </si>
  <si>
    <t>Poverty level breakdown</t>
  </si>
  <si>
    <r>
      <t xml:space="preserve">     133</t>
    </r>
    <r>
      <rPr>
        <vertAlign val="superscript"/>
        <sz val="11"/>
        <color indexed="8"/>
        <rFont val="Calibri"/>
        <family val="2"/>
      </rPr>
      <t>1</t>
    </r>
    <r>
      <rPr>
        <sz val="11"/>
        <color theme="1"/>
        <rFont val="Calibri"/>
        <family val="2"/>
        <scheme val="minor"/>
      </rPr>
      <t xml:space="preserve"> - 150% poverty level</t>
    </r>
  </si>
  <si>
    <t>Household Size spread over the Household Income Levels</t>
  </si>
  <si>
    <t>Estimated Poverty Levels</t>
  </si>
  <si>
    <t>Total Adults Ages 19-64</t>
  </si>
  <si>
    <r>
      <rPr>
        <vertAlign val="superscript"/>
        <sz val="11"/>
        <color indexed="8"/>
        <rFont val="Calibri"/>
        <family val="2"/>
      </rPr>
      <t>1</t>
    </r>
    <r>
      <rPr>
        <sz val="11"/>
        <color theme="1"/>
        <rFont val="Calibri"/>
        <family val="2"/>
        <scheme val="minor"/>
      </rPr>
      <t>138% adjusted for a 5% income disregard for Medicaid</t>
    </r>
  </si>
  <si>
    <r>
      <t>133%</t>
    </r>
    <r>
      <rPr>
        <b/>
        <vertAlign val="superscript"/>
        <sz val="11"/>
        <color indexed="8"/>
        <rFont val="Calibri"/>
        <family val="2"/>
      </rPr>
      <t>1</t>
    </r>
  </si>
  <si>
    <r>
      <rPr>
        <vertAlign val="superscript"/>
        <sz val="11"/>
        <color indexed="8"/>
        <rFont val="Calibri"/>
        <family val="2"/>
      </rPr>
      <t>1</t>
    </r>
    <r>
      <rPr>
        <sz val="11"/>
        <color theme="1"/>
        <rFont val="Calibri"/>
        <family val="2"/>
        <scheme val="minor"/>
      </rPr>
      <t>Adjusted for 5% Medicaid Income Disregard</t>
    </r>
  </si>
  <si>
    <t>Number</t>
  </si>
  <si>
    <t>Worksheet 3 - Estimating Potential Revenue</t>
  </si>
  <si>
    <t>Payer Mix</t>
  </si>
  <si>
    <t>Outpatient (Clinic)</t>
  </si>
  <si>
    <t>Medicaid</t>
  </si>
  <si>
    <t xml:space="preserve">Outpatient (Clinic) </t>
  </si>
  <si>
    <t>Medicare</t>
  </si>
  <si>
    <t>Total Medicare</t>
  </si>
  <si>
    <t>Numbers</t>
  </si>
  <si>
    <t xml:space="preserve">Total </t>
  </si>
  <si>
    <t>Billed</t>
  </si>
  <si>
    <t>Collected</t>
  </si>
  <si>
    <t xml:space="preserve">Bill to </t>
  </si>
  <si>
    <t>Collection Rate</t>
  </si>
  <si>
    <t>Average Collection</t>
  </si>
  <si>
    <t>per Active User</t>
  </si>
  <si>
    <t>Tribal Members</t>
  </si>
  <si>
    <t>Projected</t>
  </si>
  <si>
    <t>Federal</t>
  </si>
  <si>
    <t>Total Revenue Projected from Exchange insurance plans:</t>
  </si>
  <si>
    <t>Total Revenue Projected from Exchange  insurance plans, adjusted to 2014 projected inflation</t>
  </si>
  <si>
    <t>Inflation</t>
  </si>
  <si>
    <t xml:space="preserve">Commercial Insurance </t>
  </si>
  <si>
    <t>Total Commercial Insurance</t>
  </si>
  <si>
    <t xml:space="preserve">Total Medicaid </t>
  </si>
  <si>
    <t>Base on published federal inflation rate</t>
  </si>
  <si>
    <t>Base on federal projection inflation</t>
  </si>
  <si>
    <r>
      <t>Total new Medicaid Revenue Projected based on sponsorship program outreach</t>
    </r>
    <r>
      <rPr>
        <b/>
        <sz val="11"/>
        <color indexed="8"/>
        <rFont val="Calibri"/>
        <family val="2"/>
      </rPr>
      <t>:</t>
    </r>
  </si>
  <si>
    <t>Inpatient; if applicable</t>
  </si>
  <si>
    <t>Worksheet 4 - Estimating Contract Health Service (CHS) Cost Savings</t>
  </si>
  <si>
    <t>CHS Expenditures</t>
  </si>
  <si>
    <t>3-Year Average CHS Cost per Eligible</t>
  </si>
  <si>
    <t>3-Yr Average</t>
  </si>
  <si>
    <t>2014 Federal Inflation adjusted:</t>
  </si>
  <si>
    <t>Average CHS Cost Avoidance for Exchange Insurance plan Sponsorship</t>
  </si>
  <si>
    <t xml:space="preserve">Number of Uninsured CHS Eligible, Age 19-64 </t>
  </si>
  <si>
    <t>Total Contract Health Service (CHS) Cost Avoidance</t>
  </si>
  <si>
    <t>Age</t>
  </si>
  <si>
    <t>19 - 29</t>
  </si>
  <si>
    <t>30 - 39</t>
  </si>
  <si>
    <t>40 - 49</t>
  </si>
  <si>
    <t>50 - 59</t>
  </si>
  <si>
    <t>********************* Age  *******************</t>
  </si>
  <si>
    <t>Poverty Level</t>
  </si>
  <si>
    <t>134 - 150%</t>
  </si>
  <si>
    <t>151 - 200%</t>
  </si>
  <si>
    <t>201 - 250%</t>
  </si>
  <si>
    <t>251 - 300%</t>
  </si>
  <si>
    <t>301 - 400%</t>
  </si>
  <si>
    <t>over 400%</t>
  </si>
  <si>
    <t>0 - 18</t>
  </si>
  <si>
    <t>60 - 64</t>
  </si>
  <si>
    <t>over 65</t>
  </si>
  <si>
    <t>Age 19 - 64</t>
  </si>
  <si>
    <t>Percentage of</t>
  </si>
  <si>
    <t xml:space="preserve">Population Pyramid </t>
  </si>
  <si>
    <t>Allocation of Uninsured</t>
  </si>
  <si>
    <t>Population, Age 19 -64</t>
  </si>
  <si>
    <t>Uninsured Population, Age 19 -64 in Study:</t>
  </si>
  <si>
    <t>Uninsured Population, Age 19 - 64 Poverty Level by Age for Study Population</t>
  </si>
  <si>
    <t xml:space="preserve">       over 400% poverty level</t>
  </si>
  <si>
    <t xml:space="preserve">       301 - 400% poverty level</t>
  </si>
  <si>
    <t xml:space="preserve">       251-300% poverty level</t>
  </si>
  <si>
    <t xml:space="preserve">       201 - 250% poverty level</t>
  </si>
  <si>
    <t xml:space="preserve">       151 - 200% poverty level</t>
  </si>
  <si>
    <t xml:space="preserve">       133 - 150% poverty level</t>
  </si>
  <si>
    <t xml:space="preserve">       0 - 133% poverty level</t>
  </si>
  <si>
    <t>Poverty Levels</t>
  </si>
  <si>
    <t>2014 Annual Premium per Age Group per Individual</t>
  </si>
  <si>
    <t>Worksheet 6: Total Premium Cost</t>
  </si>
  <si>
    <t>Total Premium Cost</t>
  </si>
  <si>
    <t>Premium Cost per Age Group</t>
  </si>
  <si>
    <t>Program Billing</t>
  </si>
  <si>
    <t>Program Operation Costs</t>
  </si>
  <si>
    <t>Outreach: Education, Enrollment &amp; Assistance</t>
  </si>
  <si>
    <t>Total Revenue Collections for 2010</t>
  </si>
  <si>
    <t>2010 Billing Cost to Collection Ratio</t>
  </si>
  <si>
    <t>Projected Annual Revenue from Exchange Sponsorship</t>
  </si>
  <si>
    <t>Estimated Program Billing Cost</t>
  </si>
  <si>
    <t>Other Administrative Costs</t>
  </si>
  <si>
    <t>Total Sponsorship Program Operation Cost</t>
  </si>
  <si>
    <t>Worksheet 7 - Other Sponsorship Operational Expenses</t>
  </si>
  <si>
    <t>Total Business Office Expenses for 2010</t>
  </si>
  <si>
    <t>Tribal Service Area Tenure by Household Size were the householder is AIAN</t>
  </si>
  <si>
    <t xml:space="preserve">Number of uninsured population, Age 19-64 </t>
  </si>
  <si>
    <t xml:space="preserve">Number of uninsured population eligible for Medicaid </t>
  </si>
  <si>
    <t>Level</t>
  </si>
  <si>
    <t>Attachment B</t>
  </si>
  <si>
    <t>Worksheets for Estimating Cost - Benefit of Health Insurance Exchange Sponsorship</t>
  </si>
  <si>
    <t>Tribal Education &amp; Outreach Consortium</t>
  </si>
  <si>
    <t># Uninsured active users, 19-64 years old</t>
  </si>
  <si>
    <t xml:space="preserve"># Eligible for Exchange plans </t>
  </si>
  <si>
    <t xml:space="preserve">Cost to pay unsubsidized portion of premiums </t>
  </si>
  <si>
    <r>
      <t xml:space="preserve">Total cost to Tribe </t>
    </r>
    <r>
      <rPr>
        <i/>
        <sz val="11"/>
        <color indexed="8"/>
        <rFont val="Calibri"/>
        <family val="2"/>
      </rPr>
      <t xml:space="preserve">(premiums + admin) </t>
    </r>
  </si>
  <si>
    <r>
      <t xml:space="preserve"># Eligible for Medicaid Expansion </t>
    </r>
    <r>
      <rPr>
        <i/>
        <sz val="11"/>
        <color indexed="8"/>
        <rFont val="Calibri"/>
        <family val="2"/>
      </rPr>
      <t xml:space="preserve">(&lt; 138% FPL) </t>
    </r>
  </si>
  <si>
    <t xml:space="preserve">Estimated revenues from Medicaid Expansion </t>
  </si>
  <si>
    <t xml:space="preserve">Estimated revenues from Exchange plans </t>
  </si>
  <si>
    <t xml:space="preserve">Estimated CHS savings </t>
  </si>
  <si>
    <r>
      <t xml:space="preserve">Total benefit to Tribe </t>
    </r>
    <r>
      <rPr>
        <i/>
        <sz val="11"/>
        <color indexed="8"/>
        <rFont val="Calibri"/>
        <family val="2"/>
      </rPr>
      <t>(revenue + CHS savings)</t>
    </r>
    <r>
      <rPr>
        <sz val="11"/>
        <color theme="1"/>
        <rFont val="Calibri"/>
        <family val="2"/>
        <scheme val="minor"/>
      </rPr>
      <t xml:space="preserve"> </t>
    </r>
  </si>
  <si>
    <r>
      <t xml:space="preserve">Net benefit to Tribe </t>
    </r>
    <r>
      <rPr>
        <i/>
        <sz val="11"/>
        <color indexed="8"/>
        <rFont val="Calibri"/>
        <family val="2"/>
      </rPr>
      <t xml:space="preserve">(total benefit-total cost) </t>
    </r>
  </si>
  <si>
    <t>For each $1 spent by Tribe, amount earned by Tribe</t>
  </si>
  <si>
    <t>All Uninsured</t>
  </si>
  <si>
    <t>Uninsured</t>
  </si>
  <si>
    <t>Eligible for CHS</t>
  </si>
  <si>
    <t>COSTS</t>
  </si>
  <si>
    <t>REVENUE/COST SAVINGS</t>
  </si>
  <si>
    <t>EARNINGS PER INVESTMENT</t>
  </si>
  <si>
    <t>Estimated Cost Benefit of Tribal Sponsorship of Health Insurance Exchanges</t>
  </si>
  <si>
    <t>All</t>
  </si>
  <si>
    <t>CHS</t>
  </si>
  <si>
    <t>Eligible</t>
  </si>
  <si>
    <t xml:space="preserve">Tribal </t>
  </si>
  <si>
    <t>Members</t>
  </si>
  <si>
    <r>
      <rPr>
        <b/>
        <sz val="9"/>
        <color indexed="8"/>
        <rFont val="Calibri"/>
        <family val="2"/>
      </rPr>
      <t>Source</t>
    </r>
    <r>
      <rPr>
        <sz val="9"/>
        <color indexed="8"/>
        <rFont val="Calibri"/>
        <family val="2"/>
      </rPr>
      <t xml:space="preserve">: Henry J. Kaiser Family Foundation’s Health Reform Subsidy Calculator website.  </t>
    </r>
  </si>
  <si>
    <t>All Uninsured Active Users Premium Cost, Age 19-64</t>
  </si>
  <si>
    <t>Uninsured Tribal Member Active Users Premium Cost, Age 19-64</t>
  </si>
  <si>
    <t>All Uninsured Active Users, Age 19-64</t>
  </si>
  <si>
    <t>Uninsured Tribal Member Active Users, Age 19-64</t>
  </si>
  <si>
    <t xml:space="preserve">Demographics </t>
  </si>
  <si>
    <t>Total Number</t>
  </si>
  <si>
    <t>Children less</t>
  </si>
  <si>
    <t>Adults  65 y/o</t>
  </si>
  <si>
    <t>than 19 y/o</t>
  </si>
  <si>
    <t>and older</t>
  </si>
  <si>
    <t>Tribal member</t>
  </si>
  <si>
    <r>
      <t xml:space="preserve">All Ages         </t>
    </r>
    <r>
      <rPr>
        <b/>
        <sz val="11"/>
        <color indexed="8"/>
        <rFont val="Calibri"/>
        <family val="2"/>
      </rPr>
      <t xml:space="preserve">  </t>
    </r>
  </si>
  <si>
    <t>19 – 29</t>
  </si>
  <si>
    <t>30 – 39</t>
  </si>
  <si>
    <t>40 – 49</t>
  </si>
  <si>
    <t>50 – 59</t>
  </si>
  <si>
    <t>60 – 64</t>
  </si>
  <si>
    <t>Uninsured Population</t>
  </si>
  <si>
    <t>Information needed to Determine Revenue/Cost Savings</t>
  </si>
  <si>
    <t>Commercial insurance</t>
  </si>
  <si>
    <t xml:space="preserve">       </t>
  </si>
  <si>
    <t xml:space="preserve"> Total</t>
  </si>
  <si>
    <t>Your estimate:</t>
  </si>
  <si>
    <t>Total Revenue Collections for Outpatient Services:</t>
  </si>
  <si>
    <t xml:space="preserve">Total Clinic Business Office Expenses:  </t>
  </si>
  <si>
    <t xml:space="preserve">Uninsured Active Users                    </t>
  </si>
  <si>
    <t>Outpatient Payer Mix</t>
  </si>
  <si>
    <t xml:space="preserve">Inpatient </t>
  </si>
  <si>
    <t>Totals</t>
  </si>
  <si>
    <t xml:space="preserve">  Owner occupied:</t>
  </si>
  <si>
    <t xml:space="preserve">    1-person household</t>
  </si>
  <si>
    <t xml:space="preserve">    2-person household</t>
  </si>
  <si>
    <t xml:space="preserve">    3-person household</t>
  </si>
  <si>
    <t xml:space="preserve">    4-person household</t>
  </si>
  <si>
    <t xml:space="preserve">    5-person household</t>
  </si>
  <si>
    <t xml:space="preserve">    6-person household</t>
  </si>
  <si>
    <t xml:space="preserve">    7-or-more-person household</t>
  </si>
  <si>
    <t xml:space="preserve">  Renter occupied:</t>
  </si>
  <si>
    <t>TENURE BY HOUSEHOLD SIZE (AMERICAN INDIAN AND ALASKA NATIVE ALONE HOUSEHOLDER)</t>
  </si>
  <si>
    <t xml:space="preserve"> HOUSEHOLD INCOME IN THE PAST 12 MONTHS (IN 2010 INFLATION-ADJUSTED DOLLARS) (AMERICAN INDIAN AND ALASKA NATIVE ALONE HOUSEHOLDER)</t>
  </si>
  <si>
    <t xml:space="preserve">  $125,000 to $149,999</t>
  </si>
  <si>
    <t xml:space="preserve">  $150,000 to $199,999</t>
  </si>
  <si>
    <t xml:space="preserve">  $200,000 or more</t>
  </si>
  <si>
    <t>Renter</t>
  </si>
  <si>
    <t>Owner</t>
  </si>
  <si>
    <t>$125,000 or more</t>
  </si>
  <si>
    <t xml:space="preserve">Uninsured Population </t>
  </si>
  <si>
    <t>Active Users, 19-64</t>
  </si>
  <si>
    <t>Uninsured CHS</t>
  </si>
  <si>
    <t>Uninsured Tribal</t>
  </si>
  <si>
    <t>Members, 19-64</t>
  </si>
  <si>
    <t>Number of Uninsured, Age 19-64</t>
  </si>
  <si>
    <t>Number by Poverty Level per Age - All Uninsured Active Users, Age 19-64</t>
  </si>
  <si>
    <t>CHS Uninsured</t>
  </si>
  <si>
    <t xml:space="preserve">Tribal Members </t>
  </si>
  <si>
    <t>Number by Poverty Level per Age - Uninsured CHS Active Users, Age 19-64</t>
  </si>
  <si>
    <t>Number by Poverty Level per Age - Uninsured Tribal Member Active Users, Age 19-64</t>
  </si>
  <si>
    <t>CHS Uninsured Active Users Premium Cost, Age 19-64</t>
  </si>
  <si>
    <t>Fill in the boxes for each County in your Service Area</t>
  </si>
  <si>
    <r>
      <t xml:space="preserve">Tribal Data </t>
    </r>
    <r>
      <rPr>
        <b/>
        <sz val="12"/>
        <color indexed="10"/>
        <rFont val="Calibri"/>
        <family val="2"/>
      </rPr>
      <t>(completed by Tribe)</t>
    </r>
  </si>
  <si>
    <t>Revenue: Based on Insured Average Collections per Payer Mix</t>
  </si>
  <si>
    <t>Costs to tribe for administration, outreach, etc.</t>
  </si>
  <si>
    <r>
      <t>Total Revenue Projected from Health Insurance Exchange plans (Commercial average collections per person)</t>
    </r>
    <r>
      <rPr>
        <b/>
        <sz val="11"/>
        <color indexed="8"/>
        <rFont val="Calibri"/>
        <family val="2"/>
      </rPr>
      <t>:</t>
    </r>
  </si>
  <si>
    <t>Household Income and Household Size for your Tribe's Service Area by County from American Fact finder Website</t>
  </si>
  <si>
    <t>a.</t>
  </si>
  <si>
    <t>b.</t>
  </si>
  <si>
    <t>c.</t>
  </si>
  <si>
    <t>d.</t>
  </si>
  <si>
    <t>e.</t>
  </si>
  <si>
    <t>f.</t>
  </si>
  <si>
    <t>g.</t>
  </si>
  <si>
    <t>h.</t>
  </si>
  <si>
    <t>i.</t>
  </si>
  <si>
    <t>j.</t>
  </si>
  <si>
    <t>k.</t>
  </si>
  <si>
    <t>l.</t>
  </si>
  <si>
    <t>Fill in your County (ies) name</t>
  </si>
  <si>
    <t>DEMOGRAPHICS</t>
  </si>
  <si>
    <r>
      <t>1.  From your outpatient Clinic registration and/or billing system, determine the number of active users without insurance who reside in your service area for each of the following categories.    Determine how many of the uninsured are less than 19 years old.  Determine how many of the uninsured are 65 and older.</t>
    </r>
    <r>
      <rPr>
        <b/>
        <sz val="11"/>
        <color indexed="10"/>
        <rFont val="Calibri"/>
        <family val="2"/>
      </rPr>
      <t xml:space="preserve"> Insert the information in the boxes below.</t>
    </r>
  </si>
  <si>
    <r>
      <t xml:space="preserve">2.  For the All Uninsured population, complete population pyramid age breakdown </t>
    </r>
    <r>
      <rPr>
        <b/>
        <sz val="11"/>
        <color indexed="10"/>
        <rFont val="Calibri"/>
        <family val="2"/>
      </rPr>
      <t>and insert information in boxes</t>
    </r>
    <r>
      <rPr>
        <b/>
        <sz val="11"/>
        <color indexed="8"/>
        <rFont val="Calibri"/>
        <family val="2"/>
      </rPr>
      <t>:</t>
    </r>
  </si>
  <si>
    <r>
      <t xml:space="preserve">3. For </t>
    </r>
    <r>
      <rPr>
        <b/>
        <u/>
        <sz val="11"/>
        <color indexed="8"/>
        <rFont val="Calibri"/>
        <family val="2"/>
      </rPr>
      <t xml:space="preserve">all </t>
    </r>
    <r>
      <rPr>
        <b/>
        <sz val="11"/>
        <color indexed="8"/>
        <rFont val="Calibri"/>
        <family val="2"/>
      </rPr>
      <t xml:space="preserve">19-64 year old active users </t>
    </r>
    <r>
      <rPr>
        <b/>
        <u/>
        <sz val="11"/>
        <color indexed="8"/>
        <rFont val="Calibri"/>
        <family val="2"/>
      </rPr>
      <t>with the following insurance coverage in 2010,</t>
    </r>
    <r>
      <rPr>
        <b/>
        <sz val="11"/>
        <color indexed="8"/>
        <rFont val="Calibri"/>
        <family val="2"/>
      </rPr>
      <t xml:space="preserve"> provide the total number of insured people in each category, the total billed and collected amounts for each category.  </t>
    </r>
    <r>
      <rPr>
        <i/>
        <sz val="11"/>
        <color indexed="8"/>
        <rFont val="Calibri"/>
        <family val="2"/>
      </rPr>
      <t>Do not include Dental services.</t>
    </r>
  </si>
  <si>
    <r>
      <t xml:space="preserve">For clarification, when determining total number of people for each type of insurance, this number should include insured active users who did </t>
    </r>
    <r>
      <rPr>
        <i/>
        <u/>
        <sz val="11"/>
        <color indexed="8"/>
        <rFont val="Calibri"/>
        <family val="2"/>
      </rPr>
      <t>not received</t>
    </r>
    <r>
      <rPr>
        <i/>
        <sz val="11"/>
        <color indexed="8"/>
        <rFont val="Calibri"/>
        <family val="2"/>
      </rPr>
      <t xml:space="preserve"> services in 2010.  (This number is needed to calculate average collection per active user by payer type)</t>
    </r>
    <r>
      <rPr>
        <b/>
        <i/>
        <sz val="11"/>
        <color indexed="8"/>
        <rFont val="Calibri"/>
        <family val="2"/>
      </rPr>
      <t xml:space="preserve">.  </t>
    </r>
  </si>
  <si>
    <t>of People</t>
  </si>
  <si>
    <r>
      <rPr>
        <b/>
        <sz val="11"/>
        <color indexed="8"/>
        <rFont val="Calibri"/>
        <family val="2"/>
      </rPr>
      <t>4. If your Tribe operates a hospital, complete this section.  If not, ignore this part and move to question 5.</t>
    </r>
    <r>
      <rPr>
        <sz val="11"/>
        <color theme="1"/>
        <rFont val="Calibri"/>
        <family val="2"/>
        <scheme val="minor"/>
      </rPr>
      <t xml:space="preserve">  </t>
    </r>
    <r>
      <rPr>
        <b/>
        <sz val="11"/>
        <color indexed="8"/>
        <rFont val="Calibri"/>
        <family val="2"/>
      </rPr>
      <t xml:space="preserve">For </t>
    </r>
    <r>
      <rPr>
        <b/>
        <u/>
        <sz val="11"/>
        <color indexed="8"/>
        <rFont val="Calibri"/>
        <family val="2"/>
      </rPr>
      <t xml:space="preserve">all </t>
    </r>
    <r>
      <rPr>
        <b/>
        <sz val="11"/>
        <color indexed="8"/>
        <rFont val="Calibri"/>
        <family val="2"/>
      </rPr>
      <t xml:space="preserve">19-64 year old of your </t>
    </r>
    <r>
      <rPr>
        <b/>
        <sz val="11"/>
        <color indexed="8"/>
        <rFont val="Calibri"/>
        <family val="2"/>
      </rPr>
      <t>insured</t>
    </r>
    <r>
      <rPr>
        <b/>
        <sz val="11"/>
        <color indexed="8"/>
        <rFont val="Calibri"/>
        <family val="2"/>
      </rPr>
      <t xml:space="preserve"> active users with</t>
    </r>
    <r>
      <rPr>
        <b/>
        <sz val="11"/>
        <color indexed="8"/>
        <rFont val="Calibri"/>
        <family val="2"/>
      </rPr>
      <t xml:space="preserve"> the</t>
    </r>
    <r>
      <rPr>
        <b/>
        <i/>
        <sz val="11"/>
        <color indexed="8"/>
        <rFont val="Calibri"/>
        <family val="2"/>
      </rPr>
      <t xml:space="preserve"> </t>
    </r>
    <r>
      <rPr>
        <b/>
        <sz val="11"/>
        <color indexed="8"/>
        <rFont val="Calibri"/>
        <family val="2"/>
      </rPr>
      <t xml:space="preserve">following insurance coverage in 2010, provide the total billed and collected </t>
    </r>
    <r>
      <rPr>
        <b/>
        <u/>
        <sz val="11"/>
        <color indexed="8"/>
        <rFont val="Calibri"/>
        <family val="2"/>
      </rPr>
      <t>inpatient</t>
    </r>
    <r>
      <rPr>
        <b/>
        <sz val="11"/>
        <color indexed="8"/>
        <rFont val="Calibri"/>
        <family val="2"/>
      </rPr>
      <t xml:space="preserve"> amounts for each category.  If the hospital provides services to active users of other Tribes, do</t>
    </r>
    <r>
      <rPr>
        <b/>
        <u/>
        <sz val="11"/>
        <color indexed="8"/>
        <rFont val="Calibri"/>
        <family val="2"/>
      </rPr>
      <t xml:space="preserve"> </t>
    </r>
    <r>
      <rPr>
        <b/>
        <sz val="11"/>
        <color indexed="8"/>
        <rFont val="Calibri"/>
        <family val="2"/>
      </rPr>
      <t xml:space="preserve">not include their data in these numbers:  </t>
    </r>
    <r>
      <rPr>
        <i/>
        <sz val="11"/>
        <color indexed="8"/>
        <rFont val="Calibri"/>
        <family val="2"/>
      </rPr>
      <t>Do not</t>
    </r>
    <r>
      <rPr>
        <sz val="11"/>
        <color indexed="8"/>
        <rFont val="Calibri"/>
        <family val="2"/>
      </rPr>
      <t xml:space="preserve"> </t>
    </r>
    <r>
      <rPr>
        <i/>
        <sz val="11"/>
        <color indexed="8"/>
        <rFont val="Calibri"/>
        <family val="2"/>
      </rPr>
      <t>include Dental services</t>
    </r>
    <r>
      <rPr>
        <b/>
        <sz val="11"/>
        <color indexed="8"/>
        <rFont val="Calibri"/>
        <family val="2"/>
      </rPr>
      <t xml:space="preserve">. </t>
    </r>
  </si>
  <si>
    <r>
      <t xml:space="preserve">For the uninsured people eligible for CHS between the ages of 19 - 64 years old, determine the CHS expenditures for 2010, 2009, and 2008 </t>
    </r>
    <r>
      <rPr>
        <b/>
        <sz val="11"/>
        <color indexed="10"/>
        <rFont val="Calibri"/>
        <family val="2"/>
      </rPr>
      <t>and insert that information in boxes below</t>
    </r>
    <r>
      <rPr>
        <b/>
        <sz val="11"/>
        <color indexed="8"/>
        <rFont val="Calibri"/>
        <family val="2"/>
      </rPr>
      <t xml:space="preserve">.  </t>
    </r>
    <r>
      <rPr>
        <i/>
        <sz val="11"/>
        <color indexed="8"/>
        <rFont val="Calibri"/>
        <family val="2"/>
      </rPr>
      <t xml:space="preserve">Do not include Dental Service.  </t>
    </r>
    <r>
      <rPr>
        <b/>
        <i/>
        <sz val="11"/>
        <color indexed="8"/>
        <rFont val="Calibri"/>
        <family val="2"/>
      </rPr>
      <t>In the second row of boxes, insert the number of uninsured people 19-64 years old eligible for CHS each year.</t>
    </r>
    <r>
      <rPr>
        <i/>
        <sz val="11"/>
        <color indexed="8"/>
        <rFont val="Calibri"/>
        <family val="2"/>
      </rPr>
      <t xml:space="preserve">  This may be different than the number who actually used CHS in any given year, </t>
    </r>
    <r>
      <rPr>
        <i/>
        <sz val="11"/>
        <color indexed="10"/>
        <rFont val="Calibri"/>
        <family val="2"/>
      </rPr>
      <t xml:space="preserve">and you will need to insert in the boxes on the second row the number eligible for CHS each year.  </t>
    </r>
  </si>
  <si>
    <t>CHS Expenditures for uninsured 19-64 y/o:</t>
  </si>
  <si>
    <t>Total # CHS Eligible (19-64 y/o):</t>
  </si>
  <si>
    <t>5. CHS Data</t>
  </si>
  <si>
    <t xml:space="preserve">6. Community outreach Benefit Specialist staff will be required to educate, assist and sign up individuals (or families) for the Health Insurance Exchange.  Estimate annual salary and other expenses based on any previous experience for the additional work for outreach, assistance and enrollment of the uninsured population.                         </t>
  </si>
  <si>
    <t>7. There will be additional workload to bill Exchange plans for eligible individuals who receive health services at your facility.  Provide the following for 2010:</t>
  </si>
  <si>
    <t xml:space="preserve">8. Estimate “other administrative management” annual expenses for additional cost to administer the Exchange program, such as travel, training, publications, advertising, etc. </t>
  </si>
  <si>
    <t>Worksheet B:  Based on Average Collections</t>
  </si>
  <si>
    <t>0-100%</t>
  </si>
  <si>
    <t xml:space="preserve">Based on individual unsubsidized Premium Cost per year for the Silver (70%) Plan. -native americans exempt </t>
  </si>
  <si>
    <t xml:space="preserve">       100 - 133% poverty level</t>
  </si>
  <si>
    <t xml:space="preserve">       0- 100% poverty level</t>
  </si>
  <si>
    <t>100 -133%</t>
  </si>
  <si>
    <r>
      <t xml:space="preserve">     100 - 133% poverty level</t>
    </r>
    <r>
      <rPr>
        <vertAlign val="superscript"/>
        <sz val="11"/>
        <color indexed="8"/>
        <rFont val="Calibri"/>
        <family val="2"/>
      </rPr>
      <t>1</t>
    </r>
  </si>
  <si>
    <r>
      <t xml:space="preserve">     0 - 100% poverty level</t>
    </r>
    <r>
      <rPr>
        <vertAlign val="superscript"/>
        <sz val="11"/>
        <color indexed="8"/>
        <rFont val="Calibri"/>
        <family val="2"/>
      </rPr>
      <t>1</t>
    </r>
  </si>
  <si>
    <t>Total Number of CHS Users</t>
  </si>
  <si>
    <t>CHS User</t>
  </si>
  <si>
    <t>Pilot Group</t>
  </si>
  <si>
    <t>Region 1</t>
  </si>
  <si>
    <t>Region 2</t>
  </si>
  <si>
    <t>Region 3</t>
  </si>
  <si>
    <t>Region 4</t>
  </si>
  <si>
    <t>Region 5</t>
  </si>
  <si>
    <t>Illustration:  PREMIUM COVERAGE FOR ALL UNINSURED</t>
  </si>
  <si>
    <t>Estimated Cost-Benefit of Tribal Sponsorship of Health Insurance Exchanges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</si>
</sst>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0.000000000000000%"/>
    <numFmt numFmtId="167" formatCode="&quot;$&quot;#,##0"/>
    <numFmt numFmtId="168" formatCode="_(&quot;$&quot;* #,##0.0_);_(&quot;$&quot;* \(#,##0.0\);_(&quot;$&quot;* &quot;-&quot;??_);_(@_)"/>
    <numFmt numFmtId="169" formatCode="_(&quot;$&quot;* #,##0_);_(&quot;$&quot;* \(#,##0\);_(&quot;$&quot;* &quot;-&quot;??_);_(@_)"/>
    <numFmt numFmtId="170" formatCode="&quot;$&quot;#,##0.00"/>
  </numFmts>
  <fonts count="35">
    <font>
      <sz val="11"/>
      <color theme="1"/>
      <name val="Calibri"/>
      <family val="2"/>
      <scheme val="minor"/>
    </font>
    <font>
      <sz val="11"/>
      <color indexed="8"/>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9"/>
      <color indexed="81"/>
      <name val="Tahoma"/>
      <family val="2"/>
    </font>
    <font>
      <sz val="9"/>
      <color indexed="81"/>
      <name val="Tahoma"/>
      <family val="2"/>
    </font>
    <font>
      <i/>
      <sz val="11"/>
      <color indexed="8"/>
      <name val="Calibri"/>
      <family val="2"/>
    </font>
    <font>
      <sz val="9"/>
      <color indexed="8"/>
      <name val="Calibri"/>
      <family val="2"/>
    </font>
    <font>
      <b/>
      <sz val="9"/>
      <color indexed="8"/>
      <name val="Calibri"/>
      <family val="2"/>
    </font>
    <font>
      <b/>
      <i/>
      <sz val="11"/>
      <color indexed="8"/>
      <name val="Calibri"/>
      <family val="2"/>
    </font>
    <font>
      <b/>
      <u/>
      <sz val="11"/>
      <color indexed="8"/>
      <name val="Calibri"/>
      <family val="2"/>
    </font>
    <font>
      <b/>
      <sz val="12"/>
      <color indexed="10"/>
      <name val="Calibri"/>
      <family val="2"/>
    </font>
    <font>
      <b/>
      <sz val="11"/>
      <color indexed="10"/>
      <name val="Calibri"/>
      <family val="2"/>
    </font>
    <font>
      <i/>
      <u/>
      <sz val="11"/>
      <color indexed="8"/>
      <name val="Calibri"/>
      <family val="2"/>
    </font>
    <font>
      <i/>
      <sz val="11"/>
      <color indexed="10"/>
      <name val="Calibri"/>
      <family val="2"/>
    </font>
    <font>
      <sz val="11"/>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sz val="12"/>
      <color theme="1"/>
      <name val="Calibri"/>
      <family val="2"/>
      <scheme val="minor"/>
    </font>
    <font>
      <b/>
      <sz val="11"/>
      <color rgb="FFFF0000"/>
      <name val="Calibri"/>
      <family val="2"/>
      <scheme val="minor"/>
    </font>
    <font>
      <b/>
      <u val="singleAccounting"/>
      <sz val="11"/>
      <color theme="1"/>
      <name val="Calibri"/>
      <family val="2"/>
      <scheme val="minor"/>
    </font>
    <font>
      <b/>
      <sz val="16"/>
      <color theme="1"/>
      <name val="Calibri"/>
      <family val="2"/>
      <scheme val="minor"/>
    </font>
    <font>
      <b/>
      <sz val="12"/>
      <color rgb="FFFF0000"/>
      <name val="Calibri"/>
      <family val="2"/>
      <scheme val="minor"/>
    </font>
    <font>
      <b/>
      <sz val="12"/>
      <color theme="1"/>
      <name val="Arial"/>
      <family val="2"/>
    </font>
    <font>
      <sz val="9"/>
      <color theme="1"/>
      <name val="Calibri"/>
      <family val="2"/>
      <scheme val="minor"/>
    </font>
    <font>
      <sz val="10"/>
      <color indexed="8"/>
      <name val="SansSerif"/>
    </font>
  </fonts>
  <fills count="2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7030A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00FF"/>
        <bgColor indexed="64"/>
      </patternFill>
    </fill>
    <fill>
      <patternFill patternType="solid">
        <fgColor rgb="FFD5472F"/>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5" tint="0.39997558519241921"/>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399">
    <xf numFmtId="0" fontId="0" fillId="0" borderId="0" xfId="0"/>
    <xf numFmtId="9" fontId="17" fillId="0" borderId="0" xfId="0" applyNumberFormat="1" applyFont="1"/>
    <xf numFmtId="0" fontId="17" fillId="0" borderId="0" xfId="0" applyFont="1" applyAlignment="1">
      <alignment horizontal="center" wrapText="1"/>
    </xf>
    <xf numFmtId="0" fontId="17" fillId="0" borderId="0" xfId="0" applyFont="1"/>
    <xf numFmtId="0" fontId="17" fillId="0" borderId="0" xfId="0" applyFont="1" applyAlignment="1">
      <alignment horizontal="center"/>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applyAlignment="1"/>
    <xf numFmtId="0" fontId="17" fillId="0" borderId="1" xfId="0" applyFont="1" applyBorder="1" applyAlignment="1">
      <alignment horizontal="center"/>
    </xf>
    <xf numFmtId="1" fontId="0" fillId="0" borderId="0" xfId="0" applyNumberFormat="1"/>
    <xf numFmtId="1" fontId="16" fillId="0" borderId="0" xfId="1" applyNumberFormat="1" applyFont="1" applyFill="1"/>
    <xf numFmtId="0" fontId="0" fillId="0" borderId="0" xfId="0" applyFill="1"/>
    <xf numFmtId="10" fontId="16" fillId="0" borderId="0" xfId="3" applyNumberFormat="1" applyFont="1"/>
    <xf numFmtId="0" fontId="0" fillId="0" borderId="0" xfId="0" applyAlignment="1">
      <alignment horizontal="right"/>
    </xf>
    <xf numFmtId="9" fontId="16" fillId="0" borderId="0" xfId="3" applyFont="1" applyAlignment="1">
      <alignment horizontal="center"/>
    </xf>
    <xf numFmtId="0" fontId="0" fillId="0" borderId="0" xfId="0" applyAlignment="1">
      <alignment horizontal="left"/>
    </xf>
    <xf numFmtId="0" fontId="0" fillId="8" borderId="0" xfId="0" applyFill="1"/>
    <xf numFmtId="0" fontId="0" fillId="0" borderId="2" xfId="0" applyBorder="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166" fontId="0" fillId="0" borderId="0" xfId="0" applyNumberFormat="1"/>
    <xf numFmtId="165" fontId="0" fillId="0" borderId="0" xfId="0" applyNumberFormat="1" applyAlignment="1">
      <alignment horizontal="center"/>
    </xf>
    <xf numFmtId="0" fontId="0" fillId="0" borderId="0" xfId="0" applyAlignment="1">
      <alignment horizontal="center"/>
    </xf>
    <xf numFmtId="0" fontId="0" fillId="14" borderId="0" xfId="0" applyFill="1"/>
    <xf numFmtId="2" fontId="0" fillId="0" borderId="0" xfId="0" applyNumberFormat="1"/>
    <xf numFmtId="9" fontId="17" fillId="0" borderId="0" xfId="0" applyNumberFormat="1" applyFont="1" applyAlignment="1">
      <alignment horizontal="center" wrapText="1"/>
    </xf>
    <xf numFmtId="164" fontId="16" fillId="0" borderId="0" xfId="1" applyNumberFormat="1" applyFont="1" applyFill="1" applyBorder="1"/>
    <xf numFmtId="164" fontId="0" fillId="0" borderId="0" xfId="0" applyNumberFormat="1"/>
    <xf numFmtId="0" fontId="17" fillId="0" borderId="3" xfId="0" applyFont="1" applyBorder="1"/>
    <xf numFmtId="0" fontId="17" fillId="0" borderId="4" xfId="0" applyFont="1" applyBorder="1"/>
    <xf numFmtId="0" fontId="0" fillId="0" borderId="4" xfId="0" applyBorder="1"/>
    <xf numFmtId="0" fontId="0" fillId="0" borderId="5" xfId="0" applyBorder="1"/>
    <xf numFmtId="0" fontId="17" fillId="0" borderId="6" xfId="0" applyFont="1" applyBorder="1" applyAlignment="1">
      <alignment horizontal="center" wrapText="1"/>
    </xf>
    <xf numFmtId="9" fontId="17" fillId="0" borderId="0" xfId="0" applyNumberFormat="1" applyFont="1" applyBorder="1"/>
    <xf numFmtId="9" fontId="17" fillId="0" borderId="7" xfId="0" applyNumberFormat="1" applyFont="1" applyBorder="1"/>
    <xf numFmtId="0" fontId="17" fillId="0" borderId="6" xfId="0" applyFont="1" applyBorder="1" applyAlignment="1">
      <alignment horizontal="center"/>
    </xf>
    <xf numFmtId="164" fontId="16" fillId="9" borderId="0" xfId="1" applyNumberFormat="1" applyFont="1" applyFill="1" applyBorder="1"/>
    <xf numFmtId="164" fontId="16" fillId="8" borderId="0" xfId="1" applyNumberFormat="1" applyFont="1" applyFill="1" applyBorder="1"/>
    <xf numFmtId="164" fontId="16" fillId="3" borderId="0" xfId="1" applyNumberFormat="1" applyFont="1" applyFill="1" applyBorder="1"/>
    <xf numFmtId="164" fontId="16" fillId="4" borderId="0" xfId="1" applyNumberFormat="1" applyFont="1" applyFill="1" applyBorder="1"/>
    <xf numFmtId="164" fontId="16" fillId="10" borderId="0" xfId="1" applyNumberFormat="1" applyFont="1" applyFill="1" applyBorder="1"/>
    <xf numFmtId="164" fontId="16" fillId="6" borderId="0" xfId="1" applyNumberFormat="1" applyFont="1" applyFill="1" applyBorder="1"/>
    <xf numFmtId="164" fontId="16" fillId="2" borderId="7" xfId="1" applyNumberFormat="1" applyFont="1" applyFill="1" applyBorder="1"/>
    <xf numFmtId="164" fontId="16" fillId="2" borderId="0" xfId="1" applyNumberFormat="1" applyFont="1" applyFill="1" applyBorder="1"/>
    <xf numFmtId="164" fontId="16" fillId="7" borderId="0" xfId="1" applyNumberFormat="1" applyFont="1" applyFill="1" applyBorder="1"/>
    <xf numFmtId="164" fontId="16" fillId="5" borderId="0" xfId="1" applyNumberFormat="1" applyFont="1" applyFill="1" applyBorder="1"/>
    <xf numFmtId="164" fontId="16" fillId="5" borderId="7" xfId="1" applyNumberFormat="1" applyFont="1" applyFill="1" applyBorder="1"/>
    <xf numFmtId="164" fontId="16" fillId="15" borderId="0" xfId="1" applyNumberFormat="1" applyFont="1" applyFill="1" applyBorder="1"/>
    <xf numFmtId="164" fontId="16" fillId="15" borderId="7" xfId="1" applyNumberFormat="1" applyFont="1" applyFill="1" applyBorder="1"/>
    <xf numFmtId="164" fontId="16" fillId="14" borderId="0" xfId="1" applyNumberFormat="1" applyFont="1" applyFill="1" applyBorder="1"/>
    <xf numFmtId="164" fontId="16" fillId="14" borderId="7" xfId="1" applyNumberFormat="1" applyFont="1" applyFill="1" applyBorder="1"/>
    <xf numFmtId="164" fontId="16" fillId="12" borderId="7" xfId="1" applyNumberFormat="1" applyFont="1" applyFill="1" applyBorder="1"/>
    <xf numFmtId="164" fontId="16" fillId="12" borderId="0" xfId="1" applyNumberFormat="1" applyFont="1" applyFill="1" applyBorder="1"/>
    <xf numFmtId="164" fontId="16" fillId="13" borderId="7" xfId="1" applyNumberFormat="1" applyFont="1" applyFill="1" applyBorder="1"/>
    <xf numFmtId="0" fontId="0" fillId="0" borderId="8" xfId="0" applyBorder="1"/>
    <xf numFmtId="0" fontId="0" fillId="0" borderId="9" xfId="0" applyBorder="1"/>
    <xf numFmtId="0" fontId="0" fillId="0" borderId="10" xfId="0" applyBorder="1"/>
    <xf numFmtId="2" fontId="0" fillId="0" borderId="0" xfId="0" applyNumberFormat="1" applyAlignment="1"/>
    <xf numFmtId="10" fontId="0" fillId="0" borderId="0" xfId="0" applyNumberFormat="1" applyBorder="1" applyAlignment="1">
      <alignment horizontal="center"/>
    </xf>
    <xf numFmtId="0" fontId="0" fillId="16" borderId="0" xfId="0" applyFill="1"/>
    <xf numFmtId="0" fontId="0" fillId="16" borderId="0" xfId="0" applyFill="1" applyBorder="1"/>
    <xf numFmtId="0" fontId="17" fillId="0" borderId="0" xfId="0" applyFont="1" applyAlignment="1">
      <alignment wrapText="1"/>
    </xf>
    <xf numFmtId="0" fontId="18" fillId="0" borderId="0" xfId="0" applyFont="1"/>
    <xf numFmtId="0" fontId="0" fillId="16" borderId="0" xfId="0" applyFill="1" applyAlignment="1"/>
    <xf numFmtId="0" fontId="0" fillId="16" borderId="0" xfId="0" applyFill="1" applyAlignment="1">
      <alignment horizontal="center"/>
    </xf>
    <xf numFmtId="0" fontId="19" fillId="16" borderId="0" xfId="0" applyFont="1" applyFill="1" applyAlignment="1"/>
    <xf numFmtId="1" fontId="0" fillId="8" borderId="0" xfId="0" applyNumberFormat="1" applyFont="1" applyFill="1" applyBorder="1" applyAlignment="1">
      <alignment horizontal="center"/>
    </xf>
    <xf numFmtId="1" fontId="0" fillId="0" borderId="6" xfId="0" applyNumberFormat="1" applyFont="1" applyBorder="1" applyAlignment="1"/>
    <xf numFmtId="1" fontId="0" fillId="9" borderId="0" xfId="0" applyNumberFormat="1" applyFont="1" applyFill="1" applyBorder="1" applyAlignment="1">
      <alignment horizontal="center"/>
    </xf>
    <xf numFmtId="1" fontId="0" fillId="3" borderId="0" xfId="0" applyNumberFormat="1" applyFont="1" applyFill="1" applyBorder="1" applyAlignment="1">
      <alignment horizontal="center"/>
    </xf>
    <xf numFmtId="1" fontId="0" fillId="4" borderId="0" xfId="0" applyNumberFormat="1" applyFont="1" applyFill="1" applyBorder="1" applyAlignment="1">
      <alignment horizontal="center"/>
    </xf>
    <xf numFmtId="1" fontId="0" fillId="10" borderId="0" xfId="0" applyNumberFormat="1" applyFont="1" applyFill="1" applyBorder="1" applyAlignment="1">
      <alignment horizontal="center"/>
    </xf>
    <xf numFmtId="1" fontId="0" fillId="6" borderId="0" xfId="0" applyNumberFormat="1" applyFont="1" applyFill="1" applyBorder="1" applyAlignment="1">
      <alignment horizontal="center"/>
    </xf>
    <xf numFmtId="1" fontId="0" fillId="2" borderId="0" xfId="0" applyNumberFormat="1" applyFont="1" applyFill="1" applyBorder="1" applyAlignment="1">
      <alignment horizontal="center"/>
    </xf>
    <xf numFmtId="1" fontId="0" fillId="7" borderId="0" xfId="0" applyNumberFormat="1" applyFont="1" applyFill="1" applyBorder="1" applyAlignment="1">
      <alignment horizontal="center"/>
    </xf>
    <xf numFmtId="1" fontId="0" fillId="5" borderId="0" xfId="0" applyNumberFormat="1" applyFill="1" applyBorder="1" applyAlignment="1">
      <alignment horizontal="center"/>
    </xf>
    <xf numFmtId="1" fontId="0" fillId="15" borderId="0" xfId="0" applyNumberFormat="1" applyFill="1" applyBorder="1" applyAlignment="1">
      <alignment horizontal="center"/>
    </xf>
    <xf numFmtId="1" fontId="0" fillId="14" borderId="0" xfId="0" applyNumberFormat="1" applyFill="1" applyBorder="1" applyAlignment="1">
      <alignment horizontal="center"/>
    </xf>
    <xf numFmtId="1" fontId="16" fillId="17" borderId="0" xfId="3" applyNumberFormat="1" applyFont="1" applyFill="1" applyBorder="1"/>
    <xf numFmtId="1" fontId="0" fillId="13" borderId="0" xfId="0" applyNumberFormat="1" applyFill="1" applyBorder="1" applyAlignment="1">
      <alignment horizontal="center"/>
    </xf>
    <xf numFmtId="0" fontId="0" fillId="0" borderId="7" xfId="0" applyBorder="1" applyAlignment="1">
      <alignment horizontal="center"/>
    </xf>
    <xf numFmtId="0" fontId="0" fillId="0" borderId="0" xfId="0" applyAlignment="1">
      <alignment horizontal="center"/>
    </xf>
    <xf numFmtId="0" fontId="20" fillId="0" borderId="0" xfId="0" applyFont="1" applyBorder="1" applyAlignment="1">
      <alignment horizontal="center"/>
    </xf>
    <xf numFmtId="0" fontId="17" fillId="0" borderId="2" xfId="0" applyFont="1" applyBorder="1" applyAlignment="1">
      <alignment horizontal="center"/>
    </xf>
    <xf numFmtId="9" fontId="0" fillId="0" borderId="2" xfId="0" applyNumberFormat="1" applyBorder="1" applyAlignment="1">
      <alignment horizontal="center"/>
    </xf>
    <xf numFmtId="1" fontId="0" fillId="0" borderId="0" xfId="0" applyNumberFormat="1" applyBorder="1"/>
    <xf numFmtId="0" fontId="0" fillId="0" borderId="0" xfId="0" applyBorder="1"/>
    <xf numFmtId="0" fontId="0" fillId="0" borderId="0" xfId="0" applyAlignment="1">
      <alignment horizontal="center"/>
    </xf>
    <xf numFmtId="0" fontId="17" fillId="0" borderId="0" xfId="0" applyFont="1" applyAlignment="1"/>
    <xf numFmtId="0" fontId="17" fillId="0" borderId="6" xfId="0" applyFont="1" applyBorder="1"/>
    <xf numFmtId="0" fontId="17" fillId="0" borderId="0" xfId="0" applyFont="1" applyBorder="1" applyAlignment="1">
      <alignment horizontal="center"/>
    </xf>
    <xf numFmtId="0" fontId="17" fillId="0" borderId="0" xfId="0" applyFont="1" applyBorder="1"/>
    <xf numFmtId="0" fontId="0" fillId="18" borderId="7" xfId="0" applyFill="1" applyBorder="1"/>
    <xf numFmtId="0" fontId="17" fillId="18" borderId="0" xfId="0" applyFont="1" applyFill="1" applyBorder="1"/>
    <xf numFmtId="0" fontId="0" fillId="0" borderId="7" xfId="0" applyBorder="1"/>
    <xf numFmtId="0" fontId="17" fillId="0" borderId="8" xfId="0" applyFont="1" applyBorder="1"/>
    <xf numFmtId="0" fontId="17" fillId="0" borderId="9" xfId="0" applyFont="1" applyBorder="1"/>
    <xf numFmtId="0" fontId="0" fillId="0" borderId="0" xfId="0" applyFont="1" applyBorder="1"/>
    <xf numFmtId="0" fontId="0" fillId="0" borderId="0" xfId="0" applyFont="1"/>
    <xf numFmtId="0" fontId="17" fillId="0" borderId="0" xfId="0" applyFont="1" applyBorder="1" applyAlignment="1">
      <alignment horizontal="right"/>
    </xf>
    <xf numFmtId="167" fontId="17" fillId="0" borderId="0" xfId="0" applyNumberFormat="1" applyFont="1" applyBorder="1"/>
    <xf numFmtId="0" fontId="21" fillId="0" borderId="0" xfId="0" applyFont="1" applyBorder="1"/>
    <xf numFmtId="0" fontId="17" fillId="0" borderId="7" xfId="0" applyFont="1" applyBorder="1" applyAlignment="1"/>
    <xf numFmtId="0" fontId="17" fillId="0" borderId="7" xfId="0" applyFont="1" applyBorder="1"/>
    <xf numFmtId="0" fontId="21" fillId="0" borderId="9" xfId="0" applyFont="1" applyBorder="1"/>
    <xf numFmtId="0" fontId="0" fillId="0" borderId="3" xfId="0" applyBorder="1"/>
    <xf numFmtId="0" fontId="0" fillId="0" borderId="6" xfId="0" applyBorder="1"/>
    <xf numFmtId="0" fontId="0" fillId="0" borderId="11" xfId="0" applyBorder="1"/>
    <xf numFmtId="0" fontId="0" fillId="0" borderId="12" xfId="0" applyBorder="1"/>
    <xf numFmtId="0" fontId="0" fillId="0" borderId="13" xfId="0" applyBorder="1"/>
    <xf numFmtId="0" fontId="17" fillId="0" borderId="6" xfId="0" applyFont="1" applyBorder="1" applyAlignment="1">
      <alignment horizontal="center"/>
    </xf>
    <xf numFmtId="0" fontId="18" fillId="0" borderId="3" xfId="0" applyFont="1" applyBorder="1"/>
    <xf numFmtId="0" fontId="17" fillId="0" borderId="6" xfId="0" applyFont="1" applyBorder="1" applyAlignment="1"/>
    <xf numFmtId="0" fontId="22" fillId="0" borderId="0" xfId="0" applyFont="1" applyBorder="1" applyAlignment="1"/>
    <xf numFmtId="0" fontId="17" fillId="0" borderId="0" xfId="0" applyFont="1" applyBorder="1" applyAlignment="1">
      <alignment horizontal="center"/>
    </xf>
    <xf numFmtId="0" fontId="17" fillId="0" borderId="8" xfId="0" applyFont="1" applyBorder="1" applyAlignment="1">
      <alignment horizontal="right"/>
    </xf>
    <xf numFmtId="170" fontId="17" fillId="0" borderId="2" xfId="2" applyNumberFormat="1" applyFont="1" applyBorder="1" applyAlignment="1">
      <alignment horizontal="center"/>
    </xf>
    <xf numFmtId="0" fontId="17" fillId="0" borderId="14" xfId="0" applyFont="1" applyBorder="1" applyAlignment="1">
      <alignment horizontal="center"/>
    </xf>
    <xf numFmtId="0" fontId="0" fillId="0" borderId="15" xfId="0" applyFill="1" applyBorder="1"/>
    <xf numFmtId="170" fontId="17" fillId="0" borderId="0" xfId="2" applyNumberFormat="1" applyFont="1" applyBorder="1" applyAlignment="1">
      <alignment horizontal="center"/>
    </xf>
    <xf numFmtId="169" fontId="16" fillId="0" borderId="0" xfId="2" applyNumberFormat="1" applyFont="1" applyBorder="1" applyAlignment="1">
      <alignment horizontal="center"/>
    </xf>
    <xf numFmtId="0" fontId="17" fillId="19" borderId="7" xfId="0" applyFont="1" applyFill="1" applyBorder="1" applyAlignment="1">
      <alignment horizontal="center"/>
    </xf>
    <xf numFmtId="170" fontId="0" fillId="19" borderId="7" xfId="0" applyNumberFormat="1" applyFill="1" applyBorder="1"/>
    <xf numFmtId="0" fontId="0" fillId="19" borderId="7" xfId="0" applyFill="1" applyBorder="1"/>
    <xf numFmtId="169" fontId="16" fillId="0" borderId="0" xfId="2" applyNumberFormat="1" applyFont="1" applyBorder="1" applyAlignment="1">
      <alignment horizontal="right"/>
    </xf>
    <xf numFmtId="0" fontId="18" fillId="0" borderId="0" xfId="0" applyFont="1" applyBorder="1"/>
    <xf numFmtId="0" fontId="0" fillId="0" borderId="2" xfId="0" applyFill="1" applyBorder="1"/>
    <xf numFmtId="0" fontId="17" fillId="0" borderId="0" xfId="0" applyFont="1" applyBorder="1" applyAlignment="1">
      <alignment horizontal="center"/>
    </xf>
    <xf numFmtId="169" fontId="17" fillId="0" borderId="0" xfId="2" applyNumberFormat="1" applyFont="1" applyBorder="1"/>
    <xf numFmtId="169" fontId="17" fillId="0" borderId="9" xfId="2" applyNumberFormat="1" applyFont="1" applyBorder="1"/>
    <xf numFmtId="169" fontId="16" fillId="0" borderId="0" xfId="2" applyNumberFormat="1" applyFont="1" applyBorder="1"/>
    <xf numFmtId="10" fontId="16" fillId="0" borderId="0" xfId="3" applyNumberFormat="1" applyFont="1" applyBorder="1"/>
    <xf numFmtId="9" fontId="0" fillId="0" borderId="0" xfId="0" applyNumberFormat="1" applyBorder="1" applyAlignment="1"/>
    <xf numFmtId="0" fontId="17" fillId="0" borderId="0" xfId="0" applyFont="1" applyAlignment="1">
      <alignment horizontal="center"/>
    </xf>
    <xf numFmtId="0" fontId="17" fillId="0" borderId="6" xfId="0" applyFont="1" applyBorder="1" applyAlignment="1">
      <alignment horizontal="center"/>
    </xf>
    <xf numFmtId="0" fontId="0" fillId="20" borderId="13" xfId="0" applyFill="1" applyBorder="1"/>
    <xf numFmtId="0" fontId="0" fillId="20" borderId="15" xfId="0" applyFill="1" applyBorder="1"/>
    <xf numFmtId="0" fontId="0" fillId="20" borderId="16" xfId="0" applyFill="1" applyBorder="1"/>
    <xf numFmtId="0" fontId="23" fillId="0" borderId="6" xfId="0" applyFont="1" applyBorder="1" applyAlignment="1">
      <alignment horizontal="center"/>
    </xf>
    <xf numFmtId="0" fontId="23" fillId="0" borderId="0" xfId="0" applyFont="1" applyBorder="1" applyAlignment="1">
      <alignment horizontal="center"/>
    </xf>
    <xf numFmtId="0" fontId="0" fillId="0" borderId="13" xfId="0" applyBorder="1" applyAlignment="1">
      <alignment horizontal="center"/>
    </xf>
    <xf numFmtId="0" fontId="17" fillId="0" borderId="14" xfId="0" applyFont="1" applyFill="1" applyBorder="1" applyAlignment="1">
      <alignment horizontal="center"/>
    </xf>
    <xf numFmtId="0" fontId="0" fillId="0" borderId="13" xfId="0" applyFill="1" applyBorder="1" applyAlignment="1">
      <alignment horizontal="center"/>
    </xf>
    <xf numFmtId="0" fontId="0" fillId="20" borderId="11" xfId="0" applyFill="1" applyBorder="1"/>
    <xf numFmtId="0" fontId="0" fillId="0" borderId="0" xfId="0"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18" fillId="0" borderId="0" xfId="0" applyFont="1" applyAlignment="1">
      <alignment horizontal="center"/>
    </xf>
    <xf numFmtId="0" fontId="0" fillId="0" borderId="0" xfId="0" applyAlignment="1">
      <alignment horizontal="center"/>
    </xf>
    <xf numFmtId="0" fontId="17" fillId="0" borderId="0" xfId="0" applyFont="1" applyAlignment="1">
      <alignment horizontal="center"/>
    </xf>
    <xf numFmtId="0" fontId="0" fillId="0" borderId="0" xfId="0" applyFill="1" applyBorder="1"/>
    <xf numFmtId="169" fontId="16" fillId="0" borderId="0" xfId="2" applyNumberFormat="1" applyFont="1"/>
    <xf numFmtId="169" fontId="16" fillId="0" borderId="0" xfId="2" applyNumberFormat="1" applyFont="1" applyBorder="1"/>
    <xf numFmtId="0" fontId="17" fillId="0" borderId="13" xfId="0" applyFont="1" applyBorder="1" applyAlignment="1">
      <alignment horizontal="center"/>
    </xf>
    <xf numFmtId="0" fontId="0" fillId="0" borderId="15" xfId="0" applyBorder="1"/>
    <xf numFmtId="0" fontId="0" fillId="0" borderId="0" xfId="0"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17" fillId="0" borderId="7" xfId="0" applyFont="1" applyBorder="1" applyAlignment="1">
      <alignment horizontal="center"/>
    </xf>
    <xf numFmtId="0" fontId="19" fillId="0" borderId="0" xfId="0" applyFont="1" applyBorder="1" applyAlignment="1">
      <alignment horizontal="center"/>
    </xf>
    <xf numFmtId="0" fontId="24" fillId="0" borderId="0" xfId="0" applyFont="1"/>
    <xf numFmtId="0" fontId="25" fillId="0" borderId="0" xfId="0" applyFont="1"/>
    <xf numFmtId="0" fontId="26" fillId="0" borderId="0" xfId="0" applyFont="1"/>
    <xf numFmtId="0" fontId="25" fillId="0" borderId="0" xfId="0" applyFont="1" applyAlignment="1">
      <alignment wrapText="1"/>
    </xf>
    <xf numFmtId="0" fontId="26" fillId="0" borderId="0" xfId="0" applyFont="1" applyAlignment="1">
      <alignment horizontal="center"/>
    </xf>
    <xf numFmtId="0" fontId="26" fillId="0" borderId="0" xfId="0" applyFont="1" applyBorder="1"/>
    <xf numFmtId="0" fontId="26" fillId="0" borderId="1" xfId="0" applyFont="1" applyBorder="1"/>
    <xf numFmtId="0" fontId="17" fillId="0" borderId="1" xfId="0" applyFont="1" applyBorder="1"/>
    <xf numFmtId="2" fontId="26" fillId="0" borderId="0" xfId="0" applyNumberFormat="1" applyFont="1" applyBorder="1"/>
    <xf numFmtId="2" fontId="26" fillId="0" borderId="0" xfId="0" applyNumberFormat="1" applyFont="1"/>
    <xf numFmtId="0" fontId="20" fillId="0" borderId="0" xfId="0" applyFont="1" applyAlignment="1">
      <alignment horizontal="left" wrapText="1"/>
    </xf>
    <xf numFmtId="0" fontId="18" fillId="0" borderId="0" xfId="0" applyFont="1" applyAlignment="1"/>
    <xf numFmtId="1" fontId="19" fillId="0" borderId="0" xfId="0" applyNumberFormat="1" applyFont="1"/>
    <xf numFmtId="0" fontId="17" fillId="0" borderId="0" xfId="0" applyFont="1" applyAlignment="1">
      <alignment horizontal="left"/>
    </xf>
    <xf numFmtId="0" fontId="0" fillId="20" borderId="2" xfId="0" applyFill="1" applyBorder="1"/>
    <xf numFmtId="0" fontId="17" fillId="0" borderId="5" xfId="0" applyFont="1" applyBorder="1" applyAlignment="1">
      <alignment horizontal="center"/>
    </xf>
    <xf numFmtId="10" fontId="17" fillId="0" borderId="9" xfId="3" applyNumberFormat="1" applyFont="1" applyBorder="1"/>
    <xf numFmtId="10" fontId="17" fillId="0" borderId="0" xfId="3" applyNumberFormat="1" applyFont="1" applyBorder="1"/>
    <xf numFmtId="10" fontId="22" fillId="0" borderId="0" xfId="3" applyNumberFormat="1" applyFont="1" applyBorder="1"/>
    <xf numFmtId="0" fontId="27" fillId="0" borderId="4" xfId="0" applyFont="1" applyBorder="1"/>
    <xf numFmtId="0" fontId="18" fillId="0" borderId="6" xfId="0" applyFont="1" applyBorder="1"/>
    <xf numFmtId="0" fontId="17" fillId="0" borderId="6" xfId="0" applyFont="1" applyBorder="1" applyAlignment="1">
      <alignment horizontal="right"/>
    </xf>
    <xf numFmtId="0" fontId="17" fillId="0" borderId="17" xfId="0" applyFont="1" applyBorder="1" applyAlignment="1">
      <alignment horizontal="center"/>
    </xf>
    <xf numFmtId="0" fontId="17" fillId="0" borderId="12" xfId="0" applyFont="1" applyBorder="1" applyAlignment="1">
      <alignment horizontal="center"/>
    </xf>
    <xf numFmtId="0" fontId="17" fillId="0" borderId="6" xfId="0" applyFont="1" applyFill="1" applyBorder="1" applyAlignment="1">
      <alignment horizontal="right"/>
    </xf>
    <xf numFmtId="0" fontId="17" fillId="0" borderId="4" xfId="0" applyFont="1" applyBorder="1" applyAlignment="1">
      <alignment horizontal="center"/>
    </xf>
    <xf numFmtId="0" fontId="17" fillId="0" borderId="3" xfId="0" applyFont="1" applyFill="1" applyBorder="1"/>
    <xf numFmtId="167" fontId="17" fillId="0" borderId="4" xfId="0" applyNumberFormat="1" applyFont="1" applyBorder="1"/>
    <xf numFmtId="0" fontId="0" fillId="0" borderId="4" xfId="0" applyFont="1" applyBorder="1"/>
    <xf numFmtId="0" fontId="17" fillId="0" borderId="18" xfId="0" applyFont="1" applyBorder="1"/>
    <xf numFmtId="0" fontId="0" fillId="0" borderId="7" xfId="0" applyFont="1" applyBorder="1"/>
    <xf numFmtId="0" fontId="17" fillId="0" borderId="0" xfId="0" applyFont="1" applyAlignment="1">
      <alignment horizontal="center"/>
    </xf>
    <xf numFmtId="0" fontId="0" fillId="0" borderId="0" xfId="0" applyAlignment="1">
      <alignment horizontal="center"/>
    </xf>
    <xf numFmtId="0" fontId="28" fillId="0" borderId="0" xfId="0" applyFont="1"/>
    <xf numFmtId="0" fontId="0" fillId="0" borderId="19" xfId="0"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0" fillId="0" borderId="0" xfId="0" applyProtection="1"/>
    <xf numFmtId="1" fontId="26" fillId="21" borderId="2" xfId="0" applyNumberFormat="1" applyFont="1" applyFill="1" applyBorder="1" applyProtection="1">
      <protection locked="0"/>
    </xf>
    <xf numFmtId="0" fontId="0" fillId="21" borderId="2" xfId="0" applyFill="1" applyBorder="1" applyProtection="1">
      <protection locked="0"/>
    </xf>
    <xf numFmtId="1" fontId="0" fillId="21" borderId="2" xfId="0" applyNumberFormat="1" applyFill="1" applyBorder="1" applyProtection="1">
      <protection locked="0"/>
    </xf>
    <xf numFmtId="169" fontId="16" fillId="21" borderId="2" xfId="2" applyNumberFormat="1" applyFont="1" applyFill="1" applyBorder="1" applyProtection="1">
      <protection locked="0"/>
    </xf>
    <xf numFmtId="169" fontId="0" fillId="21" borderId="2" xfId="0" applyNumberFormat="1" applyFill="1" applyBorder="1" applyProtection="1">
      <protection locked="0"/>
    </xf>
    <xf numFmtId="0" fontId="0" fillId="0" borderId="0" xfId="0" applyProtection="1">
      <protection locked="0"/>
    </xf>
    <xf numFmtId="0" fontId="0" fillId="21" borderId="2" xfId="0" applyFill="1" applyBorder="1" applyAlignment="1" applyProtection="1">
      <alignment horizontal="right"/>
      <protection locked="0"/>
    </xf>
    <xf numFmtId="1" fontId="0" fillId="21" borderId="2" xfId="0" applyNumberFormat="1" applyFill="1" applyBorder="1" applyAlignment="1" applyProtection="1">
      <alignment horizontal="right"/>
      <protection locked="0"/>
    </xf>
    <xf numFmtId="1" fontId="0" fillId="21" borderId="2" xfId="0" applyNumberFormat="1" applyFont="1" applyFill="1" applyBorder="1" applyAlignment="1" applyProtection="1">
      <alignment horizontal="right"/>
      <protection locked="0"/>
    </xf>
    <xf numFmtId="0" fontId="0" fillId="21" borderId="2" xfId="0" applyFill="1" applyBorder="1" applyProtection="1"/>
    <xf numFmtId="0" fontId="0" fillId="16" borderId="2" xfId="0" applyFill="1" applyBorder="1" applyAlignment="1" applyProtection="1">
      <alignment horizontal="center"/>
      <protection locked="0"/>
    </xf>
    <xf numFmtId="1" fontId="0" fillId="22" borderId="2" xfId="0" applyNumberFormat="1" applyFill="1" applyBorder="1" applyAlignment="1" applyProtection="1">
      <alignment horizontal="center"/>
    </xf>
    <xf numFmtId="10" fontId="16" fillId="22" borderId="2" xfId="3" applyNumberFormat="1" applyFont="1" applyFill="1" applyBorder="1" applyAlignment="1" applyProtection="1">
      <alignment horizontal="center"/>
    </xf>
    <xf numFmtId="1" fontId="0" fillId="22" borderId="14" xfId="0" applyNumberFormat="1" applyFill="1" applyBorder="1" applyAlignment="1" applyProtection="1">
      <alignment horizontal="center"/>
    </xf>
    <xf numFmtId="1" fontId="19" fillId="22" borderId="2" xfId="0" applyNumberFormat="1" applyFont="1" applyFill="1" applyBorder="1" applyAlignment="1" applyProtection="1">
      <alignment horizontal="center"/>
    </xf>
    <xf numFmtId="10" fontId="16" fillId="22" borderId="20" xfId="3" applyNumberFormat="1" applyFont="1" applyFill="1" applyBorder="1" applyAlignment="1" applyProtection="1">
      <alignment horizontal="center"/>
    </xf>
    <xf numFmtId="1" fontId="19" fillId="22" borderId="14" xfId="0" applyNumberFormat="1" applyFont="1" applyFill="1" applyBorder="1" applyAlignment="1" applyProtection="1">
      <alignment horizontal="center"/>
    </xf>
    <xf numFmtId="10" fontId="16" fillId="22" borderId="21" xfId="3" applyNumberFormat="1" applyFont="1" applyFill="1" applyBorder="1" applyAlignment="1" applyProtection="1">
      <alignment horizontal="center"/>
    </xf>
    <xf numFmtId="0" fontId="0" fillId="22" borderId="14" xfId="0" applyFill="1" applyBorder="1" applyAlignment="1" applyProtection="1">
      <alignment horizontal="center"/>
    </xf>
    <xf numFmtId="10" fontId="16" fillId="22" borderId="0" xfId="3" applyNumberFormat="1" applyFont="1" applyFill="1"/>
    <xf numFmtId="10" fontId="16" fillId="22" borderId="0" xfId="3" applyNumberFormat="1" applyFont="1" applyFill="1" applyProtection="1"/>
    <xf numFmtId="10" fontId="16" fillId="22" borderId="0" xfId="3" applyNumberFormat="1" applyFont="1" applyFill="1" applyAlignment="1">
      <alignment horizontal="center"/>
    </xf>
    <xf numFmtId="2" fontId="0" fillId="22" borderId="6" xfId="0" applyNumberFormat="1" applyFill="1" applyBorder="1" applyAlignment="1"/>
    <xf numFmtId="2" fontId="0" fillId="22" borderId="0" xfId="0" applyNumberFormat="1" applyFill="1" applyBorder="1" applyAlignment="1"/>
    <xf numFmtId="2" fontId="0" fillId="22" borderId="0" xfId="0" applyNumberFormat="1" applyFill="1" applyBorder="1"/>
    <xf numFmtId="2" fontId="16" fillId="22" borderId="0" xfId="3" applyNumberFormat="1" applyFont="1" applyFill="1" applyBorder="1"/>
    <xf numFmtId="1" fontId="0" fillId="22" borderId="7" xfId="0" applyNumberFormat="1" applyFill="1" applyBorder="1" applyAlignment="1">
      <alignment horizontal="right"/>
    </xf>
    <xf numFmtId="10" fontId="16" fillId="22" borderId="1" xfId="3" applyNumberFormat="1" applyFont="1" applyFill="1" applyBorder="1" applyAlignment="1">
      <alignment horizontal="center"/>
    </xf>
    <xf numFmtId="2" fontId="19" fillId="22" borderId="6" xfId="0" applyNumberFormat="1" applyFont="1" applyFill="1" applyBorder="1" applyAlignment="1"/>
    <xf numFmtId="2" fontId="19" fillId="22" borderId="0" xfId="0" applyNumberFormat="1" applyFont="1" applyFill="1" applyBorder="1" applyAlignment="1"/>
    <xf numFmtId="2" fontId="19" fillId="22" borderId="0" xfId="0" applyNumberFormat="1" applyFont="1" applyFill="1" applyBorder="1"/>
    <xf numFmtId="2" fontId="19" fillId="22" borderId="0" xfId="3" applyNumberFormat="1" applyFont="1" applyFill="1" applyBorder="1"/>
    <xf numFmtId="1" fontId="19" fillId="22" borderId="7" xfId="0" applyNumberFormat="1" applyFont="1" applyFill="1" applyBorder="1" applyAlignment="1">
      <alignment horizontal="right"/>
    </xf>
    <xf numFmtId="9" fontId="16" fillId="22" borderId="0" xfId="3" applyFont="1" applyFill="1" applyAlignment="1">
      <alignment horizontal="center"/>
    </xf>
    <xf numFmtId="1" fontId="0" fillId="22" borderId="8" xfId="0" applyNumberFormat="1" applyFill="1" applyBorder="1" applyAlignment="1"/>
    <xf numFmtId="1" fontId="0" fillId="22" borderId="9" xfId="0" applyNumberFormat="1" applyFill="1" applyBorder="1" applyAlignment="1"/>
    <xf numFmtId="1" fontId="0" fillId="22" borderId="10" xfId="0" applyNumberFormat="1" applyFill="1" applyBorder="1"/>
    <xf numFmtId="2" fontId="0" fillId="22" borderId="0" xfId="0" applyNumberFormat="1" applyFont="1" applyFill="1" applyAlignment="1">
      <alignment horizontal="center"/>
    </xf>
    <xf numFmtId="2" fontId="16" fillId="22" borderId="0" xfId="1" applyNumberFormat="1" applyFont="1" applyFill="1"/>
    <xf numFmtId="164" fontId="0" fillId="22" borderId="0" xfId="0" applyNumberFormat="1" applyFill="1" applyAlignment="1">
      <alignment horizontal="right"/>
    </xf>
    <xf numFmtId="1" fontId="0" fillId="22" borderId="0" xfId="0" applyNumberFormat="1" applyFill="1" applyAlignment="1">
      <alignment horizontal="right"/>
    </xf>
    <xf numFmtId="2" fontId="16" fillId="22" borderId="0" xfId="1" applyNumberFormat="1" applyFont="1" applyFill="1" applyBorder="1"/>
    <xf numFmtId="2" fontId="0" fillId="22" borderId="0" xfId="0" applyNumberFormat="1" applyFill="1"/>
    <xf numFmtId="164" fontId="0" fillId="22" borderId="0" xfId="0" applyNumberFormat="1" applyFill="1" applyBorder="1" applyAlignment="1">
      <alignment horizontal="right"/>
    </xf>
    <xf numFmtId="10" fontId="16" fillId="22" borderId="22" xfId="3" applyNumberFormat="1" applyFont="1" applyFill="1" applyBorder="1"/>
    <xf numFmtId="165" fontId="0" fillId="22" borderId="0" xfId="0" applyNumberFormat="1" applyFill="1"/>
    <xf numFmtId="10" fontId="0" fillId="22" borderId="22" xfId="0" applyNumberFormat="1" applyFill="1" applyBorder="1"/>
    <xf numFmtId="0" fontId="0" fillId="22" borderId="0" xfId="0" applyFill="1" applyAlignment="1">
      <alignment horizontal="center"/>
    </xf>
    <xf numFmtId="0" fontId="0" fillId="22" borderId="0" xfId="0" applyFill="1"/>
    <xf numFmtId="0" fontId="17" fillId="22" borderId="0" xfId="0" applyFont="1" applyFill="1" applyBorder="1"/>
    <xf numFmtId="0" fontId="17" fillId="22" borderId="9" xfId="0" applyFont="1" applyFill="1" applyBorder="1"/>
    <xf numFmtId="169" fontId="16" fillId="22" borderId="7" xfId="2" applyNumberFormat="1" applyFont="1" applyFill="1" applyBorder="1" applyAlignment="1"/>
    <xf numFmtId="169" fontId="16" fillId="22" borderId="10" xfId="2" applyNumberFormat="1" applyFont="1" applyFill="1" applyBorder="1" applyAlignment="1"/>
    <xf numFmtId="1" fontId="17" fillId="22" borderId="0" xfId="0" applyNumberFormat="1" applyFont="1" applyFill="1" applyBorder="1" applyAlignment="1">
      <alignment horizontal="center"/>
    </xf>
    <xf numFmtId="169" fontId="17" fillId="22" borderId="0" xfId="2" applyNumberFormat="1" applyFont="1" applyFill="1" applyBorder="1"/>
    <xf numFmtId="169" fontId="22" fillId="22" borderId="0" xfId="2" applyNumberFormat="1" applyFont="1" applyFill="1" applyBorder="1"/>
    <xf numFmtId="1" fontId="17" fillId="22" borderId="7" xfId="0" applyNumberFormat="1" applyFont="1" applyFill="1" applyBorder="1" applyAlignment="1">
      <alignment horizontal="center"/>
    </xf>
    <xf numFmtId="169" fontId="17" fillId="22" borderId="0" xfId="0" applyNumberFormat="1" applyFont="1" applyFill="1" applyBorder="1"/>
    <xf numFmtId="169" fontId="29" fillId="22" borderId="0" xfId="0" applyNumberFormat="1" applyFont="1" applyFill="1" applyBorder="1"/>
    <xf numFmtId="169" fontId="17" fillId="22" borderId="7" xfId="0" applyNumberFormat="1" applyFont="1" applyFill="1" applyBorder="1"/>
    <xf numFmtId="169" fontId="29" fillId="22" borderId="7" xfId="2" applyNumberFormat="1" applyFont="1" applyFill="1" applyBorder="1"/>
    <xf numFmtId="44" fontId="17" fillId="22" borderId="7" xfId="0" applyNumberFormat="1" applyFont="1" applyFill="1" applyBorder="1"/>
    <xf numFmtId="169" fontId="17" fillId="22" borderId="9" xfId="2" applyNumberFormat="1" applyFont="1" applyFill="1" applyBorder="1"/>
    <xf numFmtId="0" fontId="0" fillId="22" borderId="9" xfId="0" applyFont="1" applyFill="1" applyBorder="1"/>
    <xf numFmtId="169" fontId="17" fillId="22" borderId="9" xfId="0" applyNumberFormat="1" applyFont="1" applyFill="1" applyBorder="1"/>
    <xf numFmtId="169" fontId="17" fillId="22" borderId="10" xfId="0" applyNumberFormat="1" applyFont="1" applyFill="1" applyBorder="1"/>
    <xf numFmtId="169" fontId="16" fillId="22" borderId="0" xfId="2" applyNumberFormat="1" applyFont="1" applyFill="1" applyBorder="1"/>
    <xf numFmtId="0" fontId="17" fillId="22" borderId="0" xfId="0" applyFont="1" applyFill="1" applyBorder="1" applyAlignment="1">
      <alignment horizontal="center"/>
    </xf>
    <xf numFmtId="0" fontId="22" fillId="22" borderId="0" xfId="0" applyFont="1" applyFill="1" applyBorder="1" applyAlignment="1">
      <alignment horizontal="center"/>
    </xf>
    <xf numFmtId="0" fontId="17" fillId="22" borderId="7" xfId="0" applyFont="1" applyFill="1" applyBorder="1" applyAlignment="1">
      <alignment horizontal="center"/>
    </xf>
    <xf numFmtId="1" fontId="17" fillId="22" borderId="2" xfId="0" applyNumberFormat="1" applyFont="1" applyFill="1" applyBorder="1"/>
    <xf numFmtId="0" fontId="17" fillId="22" borderId="14" xfId="0" applyFont="1" applyFill="1" applyBorder="1"/>
    <xf numFmtId="1" fontId="0" fillId="22" borderId="2" xfId="0" applyNumberFormat="1" applyFill="1" applyBorder="1"/>
    <xf numFmtId="1" fontId="0" fillId="22" borderId="14" xfId="0" applyNumberFormat="1" applyFill="1" applyBorder="1"/>
    <xf numFmtId="1" fontId="0" fillId="22" borderId="23" xfId="0" applyNumberFormat="1" applyFill="1" applyBorder="1"/>
    <xf numFmtId="1" fontId="0" fillId="22" borderId="24" xfId="0" applyNumberFormat="1" applyFill="1" applyBorder="1"/>
    <xf numFmtId="1" fontId="17" fillId="22" borderId="25" xfId="0" applyNumberFormat="1" applyFont="1" applyFill="1" applyBorder="1"/>
    <xf numFmtId="1" fontId="17" fillId="22" borderId="26" xfId="0" applyNumberFormat="1" applyFont="1" applyFill="1" applyBorder="1"/>
    <xf numFmtId="169" fontId="16" fillId="22" borderId="2" xfId="2" applyNumberFormat="1" applyFont="1" applyFill="1" applyBorder="1"/>
    <xf numFmtId="169" fontId="16" fillId="22" borderId="14" xfId="2" applyNumberFormat="1" applyFont="1" applyFill="1" applyBorder="1"/>
    <xf numFmtId="169" fontId="16" fillId="22" borderId="23" xfId="2" applyNumberFormat="1" applyFont="1" applyFill="1" applyBorder="1"/>
    <xf numFmtId="0" fontId="0" fillId="22" borderId="2" xfId="0" applyFill="1" applyBorder="1"/>
    <xf numFmtId="0" fontId="0" fillId="22" borderId="14" xfId="0" applyFill="1" applyBorder="1"/>
    <xf numFmtId="169" fontId="0" fillId="22" borderId="14" xfId="0" applyNumberFormat="1" applyFill="1" applyBorder="1"/>
    <xf numFmtId="169" fontId="16" fillId="22" borderId="0" xfId="2" applyNumberFormat="1" applyFont="1" applyFill="1"/>
    <xf numFmtId="0" fontId="0" fillId="22" borderId="0" xfId="0" applyFill="1" applyBorder="1"/>
    <xf numFmtId="169" fontId="0" fillId="22" borderId="0" xfId="0" applyNumberFormat="1" applyFill="1"/>
    <xf numFmtId="168" fontId="16" fillId="22" borderId="0" xfId="2" applyNumberFormat="1" applyFont="1" applyFill="1"/>
    <xf numFmtId="1" fontId="17" fillId="22" borderId="0" xfId="0" applyNumberFormat="1" applyFont="1" applyFill="1" applyAlignment="1" applyProtection="1">
      <alignment horizontal="center"/>
    </xf>
    <xf numFmtId="169" fontId="16" fillId="22" borderId="1" xfId="2" applyNumberFormat="1" applyFont="1" applyFill="1" applyBorder="1"/>
    <xf numFmtId="169" fontId="17" fillId="22" borderId="0" xfId="2" applyNumberFormat="1" applyFont="1" applyFill="1"/>
    <xf numFmtId="169" fontId="17" fillId="22" borderId="27" xfId="2" applyNumberFormat="1" applyFont="1" applyFill="1" applyBorder="1"/>
    <xf numFmtId="44" fontId="17" fillId="22" borderId="0" xfId="2" applyFont="1" applyFill="1"/>
    <xf numFmtId="0" fontId="17" fillId="21" borderId="0" xfId="0" applyFont="1" applyFill="1" applyProtection="1">
      <protection locked="0"/>
    </xf>
    <xf numFmtId="0" fontId="0" fillId="22" borderId="2" xfId="0" applyFill="1" applyBorder="1" applyAlignment="1" applyProtection="1">
      <alignment horizontal="center"/>
    </xf>
    <xf numFmtId="1" fontId="0" fillId="0" borderId="28" xfId="0" applyNumberFormat="1" applyFill="1" applyBorder="1" applyProtection="1">
      <protection locked="0"/>
    </xf>
    <xf numFmtId="1" fontId="0" fillId="22" borderId="2" xfId="0" applyNumberFormat="1" applyFill="1" applyBorder="1" applyProtection="1"/>
    <xf numFmtId="1" fontId="19" fillId="22" borderId="2" xfId="0" applyNumberFormat="1" applyFont="1" applyFill="1" applyBorder="1" applyProtection="1"/>
    <xf numFmtId="0" fontId="0" fillId="22" borderId="2" xfId="0" applyFill="1" applyBorder="1" applyAlignment="1" applyProtection="1">
      <alignment horizontal="right"/>
    </xf>
    <xf numFmtId="0" fontId="19" fillId="22" borderId="2" xfId="0" applyFont="1" applyFill="1" applyBorder="1" applyAlignment="1" applyProtection="1">
      <alignment horizontal="right"/>
    </xf>
    <xf numFmtId="169" fontId="17" fillId="22" borderId="2" xfId="2" applyNumberFormat="1" applyFont="1" applyFill="1" applyBorder="1" applyProtection="1"/>
    <xf numFmtId="0" fontId="17" fillId="22" borderId="2" xfId="0" applyFont="1" applyFill="1" applyBorder="1" applyProtection="1"/>
    <xf numFmtId="1" fontId="17" fillId="22" borderId="2" xfId="0" applyNumberFormat="1" applyFont="1" applyFill="1" applyBorder="1" applyProtection="1"/>
    <xf numFmtId="1" fontId="0" fillId="22" borderId="0" xfId="0" applyNumberFormat="1" applyFill="1" applyBorder="1" applyProtection="1">
      <protection locked="0"/>
    </xf>
    <xf numFmtId="0" fontId="0" fillId="22" borderId="0" xfId="0" applyFill="1" applyBorder="1" applyProtection="1">
      <protection locked="0"/>
    </xf>
    <xf numFmtId="169" fontId="16" fillId="22" borderId="0" xfId="2" applyNumberFormat="1" applyFont="1" applyFill="1" applyBorder="1" applyProtection="1"/>
    <xf numFmtId="0" fontId="0" fillId="22" borderId="0" xfId="0" applyFill="1" applyBorder="1" applyProtection="1"/>
    <xf numFmtId="0" fontId="0" fillId="22" borderId="0" xfId="0" applyFill="1" applyBorder="1" applyAlignment="1" applyProtection="1">
      <alignment horizontal="center"/>
      <protection locked="0"/>
    </xf>
    <xf numFmtId="0" fontId="19" fillId="22" borderId="0" xfId="0" applyFont="1" applyFill="1" applyBorder="1" applyAlignment="1" applyProtection="1">
      <alignment horizontal="center"/>
      <protection locked="0"/>
    </xf>
    <xf numFmtId="0" fontId="0" fillId="22" borderId="0" xfId="0" applyFill="1" applyProtection="1"/>
    <xf numFmtId="0" fontId="17" fillId="22" borderId="0" xfId="0" applyFont="1" applyFill="1" applyAlignment="1" applyProtection="1">
      <alignment horizontal="center"/>
    </xf>
    <xf numFmtId="0" fontId="18" fillId="0" borderId="0" xfId="0" applyFont="1" applyAlignment="1">
      <alignment horizontal="left"/>
    </xf>
    <xf numFmtId="0" fontId="18" fillId="2" borderId="0" xfId="0" applyFont="1" applyFill="1" applyAlignment="1">
      <alignment horizontal="centerContinuous"/>
    </xf>
    <xf numFmtId="0" fontId="17" fillId="0" borderId="0" xfId="0" applyFont="1" applyFill="1" applyBorder="1" applyAlignment="1" applyProtection="1">
      <alignment horizontal="center"/>
    </xf>
    <xf numFmtId="1" fontId="34" fillId="21" borderId="35" xfId="0" applyNumberFormat="1" applyFont="1" applyFill="1" applyBorder="1" applyAlignment="1">
      <alignment horizontal="right" vertical="top" wrapText="1"/>
    </xf>
    <xf numFmtId="1" fontId="0" fillId="21" borderId="2" xfId="0" applyNumberFormat="1" applyFill="1" applyBorder="1" applyProtection="1"/>
    <xf numFmtId="0" fontId="17" fillId="0" borderId="6" xfId="0" applyFont="1" applyBorder="1" applyAlignment="1">
      <alignment horizontal="center"/>
    </xf>
    <xf numFmtId="0" fontId="0" fillId="2" borderId="6" xfId="0" applyFill="1" applyBorder="1"/>
    <xf numFmtId="169" fontId="16" fillId="2" borderId="0" xfId="2" applyNumberFormat="1" applyFont="1" applyFill="1" applyBorder="1" applyAlignment="1">
      <alignment horizontal="right"/>
    </xf>
    <xf numFmtId="169" fontId="16" fillId="23" borderId="24" xfId="2" applyNumberFormat="1" applyFont="1" applyFill="1" applyBorder="1"/>
    <xf numFmtId="0" fontId="0" fillId="2" borderId="6" xfId="0" applyFill="1" applyBorder="1" applyAlignment="1">
      <alignment horizontal="center"/>
    </xf>
    <xf numFmtId="0" fontId="0" fillId="0" borderId="6" xfId="0" applyFill="1" applyBorder="1" applyAlignment="1"/>
    <xf numFmtId="169" fontId="16" fillId="2" borderId="0" xfId="2" applyNumberFormat="1" applyFont="1" applyFill="1" applyBorder="1" applyAlignment="1">
      <alignment horizontal="center"/>
    </xf>
    <xf numFmtId="0" fontId="17" fillId="2" borderId="6" xfId="0" applyFont="1" applyFill="1" applyBorder="1"/>
    <xf numFmtId="0" fontId="17" fillId="2" borderId="0" xfId="0" applyFont="1" applyFill="1" applyBorder="1"/>
    <xf numFmtId="0" fontId="0" fillId="2" borderId="0" xfId="0" applyFill="1" applyBorder="1"/>
    <xf numFmtId="0" fontId="17" fillId="2" borderId="19" xfId="0" applyFont="1" applyFill="1" applyBorder="1" applyAlignment="1">
      <alignment horizontal="center"/>
    </xf>
    <xf numFmtId="1" fontId="0" fillId="2" borderId="19" xfId="0" applyNumberFormat="1" applyFill="1" applyBorder="1" applyAlignment="1" applyProtection="1">
      <alignment horizontal="center"/>
    </xf>
    <xf numFmtId="0" fontId="0" fillId="2" borderId="2" xfId="0" applyFill="1" applyBorder="1" applyAlignment="1" applyProtection="1">
      <alignment horizontal="center"/>
    </xf>
    <xf numFmtId="1" fontId="0" fillId="2" borderId="2" xfId="0" applyNumberFormat="1" applyFill="1" applyBorder="1" applyAlignment="1" applyProtection="1">
      <alignment horizontal="center"/>
    </xf>
    <xf numFmtId="9" fontId="0" fillId="0" borderId="0" xfId="0" applyNumberFormat="1"/>
    <xf numFmtId="167" fontId="16" fillId="22" borderId="0" xfId="2" applyNumberFormat="1" applyFont="1" applyFill="1" applyBorder="1" applyAlignment="1" applyProtection="1">
      <alignment horizontal="center"/>
    </xf>
    <xf numFmtId="167" fontId="0" fillId="0" borderId="0" xfId="0" applyNumberFormat="1" applyBorder="1" applyAlignment="1">
      <alignment horizontal="center"/>
    </xf>
    <xf numFmtId="167" fontId="0" fillId="0" borderId="7" xfId="0" applyNumberFormat="1" applyBorder="1" applyAlignment="1">
      <alignment horizontal="center"/>
    </xf>
    <xf numFmtId="167" fontId="0" fillId="22" borderId="0" xfId="0" applyNumberFormat="1" applyFill="1" applyBorder="1" applyAlignment="1" applyProtection="1">
      <alignment horizontal="center"/>
    </xf>
    <xf numFmtId="167" fontId="16" fillId="22" borderId="0" xfId="2" applyNumberFormat="1" applyFont="1" applyFill="1" applyBorder="1" applyAlignment="1">
      <alignment horizontal="center"/>
    </xf>
    <xf numFmtId="167" fontId="0" fillId="0" borderId="0" xfId="0" applyNumberFormat="1" applyFont="1" applyBorder="1" applyAlignment="1">
      <alignment horizontal="center"/>
    </xf>
    <xf numFmtId="167" fontId="0" fillId="0" borderId="9" xfId="0" applyNumberFormat="1" applyBorder="1" applyAlignment="1">
      <alignment horizontal="center"/>
    </xf>
    <xf numFmtId="167" fontId="0" fillId="0" borderId="10" xfId="0" applyNumberFormat="1" applyBorder="1" applyAlignment="1">
      <alignment horizontal="center"/>
    </xf>
    <xf numFmtId="5" fontId="16" fillId="22" borderId="0" xfId="2" applyNumberFormat="1" applyFont="1" applyFill="1" applyBorder="1" applyAlignment="1">
      <alignment horizontal="center"/>
    </xf>
    <xf numFmtId="0" fontId="26" fillId="0" borderId="0" xfId="0" applyFont="1" applyAlignment="1">
      <alignment horizontal="left" wrapText="1"/>
    </xf>
    <xf numFmtId="0" fontId="18" fillId="0" borderId="0" xfId="0" applyFont="1" applyAlignment="1">
      <alignment horizontal="center"/>
    </xf>
    <xf numFmtId="0" fontId="26" fillId="0" borderId="1" xfId="0" applyFont="1" applyBorder="1" applyAlignment="1">
      <alignment horizontal="center"/>
    </xf>
    <xf numFmtId="0" fontId="26" fillId="0" borderId="0" xfId="0" applyFont="1" applyAlignment="1">
      <alignment horizontal="right"/>
    </xf>
    <xf numFmtId="0" fontId="0" fillId="0" borderId="0" xfId="0" applyAlignment="1">
      <alignment horizontal="left" wrapText="1"/>
    </xf>
    <xf numFmtId="0" fontId="24" fillId="0" borderId="0" xfId="0" applyFont="1" applyAlignment="1">
      <alignment horizontal="center"/>
    </xf>
    <xf numFmtId="0" fontId="26" fillId="0" borderId="0" xfId="0" applyFont="1" applyAlignment="1">
      <alignment horizontal="center"/>
    </xf>
    <xf numFmtId="0" fontId="24" fillId="0" borderId="0" xfId="0" applyFont="1" applyAlignment="1">
      <alignment horizontal="right"/>
    </xf>
    <xf numFmtId="0" fontId="20"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center"/>
    </xf>
    <xf numFmtId="0" fontId="0" fillId="0" borderId="0" xfId="0" applyAlignment="1">
      <alignment horizontal="center"/>
    </xf>
    <xf numFmtId="0" fontId="17" fillId="0" borderId="0" xfId="0" applyFont="1" applyAlignment="1">
      <alignment horizontal="center" wrapText="1"/>
    </xf>
    <xf numFmtId="0" fontId="30" fillId="0" borderId="0" xfId="0" applyFont="1" applyAlignment="1">
      <alignment horizontal="center"/>
    </xf>
    <xf numFmtId="0" fontId="31" fillId="0" borderId="0" xfId="0" applyFont="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0" fontId="23" fillId="0" borderId="6" xfId="0" applyFont="1" applyBorder="1" applyAlignment="1">
      <alignment horizontal="center"/>
    </xf>
    <xf numFmtId="0" fontId="23" fillId="0" borderId="0" xfId="0" applyFont="1" applyBorder="1" applyAlignment="1">
      <alignment horizontal="center"/>
    </xf>
    <xf numFmtId="0" fontId="23" fillId="0" borderId="7" xfId="0" applyFont="1"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9" fontId="17" fillId="0" borderId="3" xfId="3" applyFont="1" applyBorder="1" applyAlignment="1">
      <alignment horizontal="center"/>
    </xf>
    <xf numFmtId="9" fontId="17" fillId="0" borderId="4" xfId="3" applyFont="1" applyBorder="1" applyAlignment="1">
      <alignment horizontal="center"/>
    </xf>
    <xf numFmtId="0" fontId="17" fillId="0" borderId="9" xfId="0" applyFont="1" applyBorder="1" applyAlignment="1">
      <alignment horizontal="center"/>
    </xf>
    <xf numFmtId="10" fontId="0" fillId="22" borderId="31" xfId="0" applyNumberFormat="1" applyFill="1" applyBorder="1" applyAlignment="1">
      <alignment horizontal="center"/>
    </xf>
    <xf numFmtId="10" fontId="0" fillId="22" borderId="33" xfId="0" applyNumberFormat="1" applyFill="1" applyBorder="1" applyAlignment="1">
      <alignment horizontal="center"/>
    </xf>
    <xf numFmtId="165" fontId="0" fillId="22" borderId="0" xfId="0" applyNumberFormat="1" applyFill="1" applyAlignment="1">
      <alignment horizontal="center"/>
    </xf>
    <xf numFmtId="0" fontId="0" fillId="22" borderId="0" xfId="0" applyFill="1" applyAlignment="1">
      <alignment horizontal="center"/>
    </xf>
    <xf numFmtId="10" fontId="0" fillId="22" borderId="32" xfId="0" applyNumberFormat="1" applyFill="1" applyBorder="1" applyAlignment="1">
      <alignment horizontal="center"/>
    </xf>
    <xf numFmtId="0" fontId="17" fillId="0" borderId="0" xfId="0" applyFont="1" applyBorder="1" applyAlignment="1">
      <alignment horizontal="center" wrapText="1"/>
    </xf>
    <xf numFmtId="0" fontId="17" fillId="0" borderId="1" xfId="0" applyFont="1" applyBorder="1" applyAlignment="1">
      <alignment horizontal="center" wrapText="1"/>
    </xf>
    <xf numFmtId="0" fontId="22" fillId="0" borderId="0" xfId="0" applyFont="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17" fillId="0" borderId="6" xfId="0" applyFont="1" applyBorder="1" applyAlignment="1">
      <alignment horizontal="center"/>
    </xf>
    <xf numFmtId="10" fontId="16" fillId="22" borderId="0" xfId="3" applyNumberFormat="1" applyFont="1" applyFill="1" applyBorder="1" applyAlignment="1">
      <alignment horizontal="center"/>
    </xf>
    <xf numFmtId="10" fontId="19" fillId="22" borderId="0" xfId="3" applyNumberFormat="1" applyFont="1" applyFill="1" applyBorder="1" applyAlignment="1">
      <alignment horizontal="center"/>
    </xf>
    <xf numFmtId="0" fontId="17" fillId="0" borderId="4" xfId="0" applyFont="1" applyBorder="1" applyAlignment="1">
      <alignment horizontal="center"/>
    </xf>
    <xf numFmtId="0" fontId="33" fillId="0" borderId="6" xfId="0" applyFont="1" applyFill="1" applyBorder="1" applyAlignment="1">
      <alignment horizontal="left" wrapText="1"/>
    </xf>
    <xf numFmtId="0" fontId="33" fillId="0" borderId="0" xfId="0" applyFont="1" applyFill="1" applyBorder="1" applyAlignment="1">
      <alignment horizontal="left" wrapText="1"/>
    </xf>
    <xf numFmtId="0" fontId="33" fillId="0" borderId="7" xfId="0" applyFont="1" applyFill="1" applyBorder="1" applyAlignment="1">
      <alignment horizontal="left" wrapText="1"/>
    </xf>
    <xf numFmtId="0" fontId="17" fillId="0" borderId="17" xfId="0" applyFont="1" applyBorder="1" applyAlignment="1">
      <alignment horizontal="center"/>
    </xf>
    <xf numFmtId="0" fontId="17" fillId="0" borderId="12" xfId="0" applyFont="1" applyBorder="1" applyAlignment="1">
      <alignment horizontal="center"/>
    </xf>
    <xf numFmtId="0" fontId="23" fillId="0" borderId="0" xfId="0" applyFont="1" applyAlignment="1">
      <alignment horizontal="center"/>
    </xf>
    <xf numFmtId="0" fontId="0" fillId="0" borderId="0" xfId="0" applyBorder="1" applyAlignment="1">
      <alignment horizontal="left" vertical="top" wrapText="1"/>
    </xf>
    <xf numFmtId="0" fontId="27" fillId="21" borderId="29" xfId="0" applyFont="1" applyFill="1" applyBorder="1" applyAlignment="1" applyProtection="1">
      <alignment horizontal="center"/>
      <protection locked="0"/>
    </xf>
    <xf numFmtId="0" fontId="27" fillId="21" borderId="34" xfId="0" applyFon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workbookViewId="0">
      <selection activeCell="C6" sqref="C6"/>
    </sheetView>
  </sheetViews>
  <sheetFormatPr defaultRowHeight="15"/>
  <cols>
    <col min="3" max="3" width="13.5703125" customWidth="1"/>
    <col min="4" max="4" width="3.5703125" customWidth="1"/>
    <col min="5" max="5" width="13.7109375" customWidth="1"/>
    <col min="6" max="6" width="2.7109375" customWidth="1"/>
    <col min="7" max="7" width="13.7109375" customWidth="1"/>
    <col min="8" max="8" width="3.7109375" customWidth="1"/>
    <col min="9" max="9" width="13.140625" customWidth="1"/>
    <col min="18" max="18" width="11.28515625" hidden="1" customWidth="1"/>
    <col min="19" max="19" width="0" hidden="1" customWidth="1"/>
    <col min="20" max="20" width="13.5703125" hidden="1" customWidth="1"/>
  </cols>
  <sheetData>
    <row r="1" spans="1:12" ht="15.75">
      <c r="A1" s="350" t="s">
        <v>143</v>
      </c>
      <c r="B1" s="350"/>
      <c r="C1" s="350"/>
      <c r="D1" s="350"/>
      <c r="E1" s="350"/>
      <c r="F1" s="350"/>
      <c r="G1" s="350"/>
      <c r="H1" s="350"/>
      <c r="I1" s="350"/>
      <c r="J1" s="350"/>
      <c r="K1" s="182"/>
    </row>
    <row r="2" spans="1:12" ht="15.75">
      <c r="A2" s="350" t="s">
        <v>161</v>
      </c>
      <c r="B2" s="350"/>
      <c r="C2" s="350"/>
      <c r="D2" s="350"/>
      <c r="E2" s="350"/>
      <c r="F2" s="350"/>
      <c r="G2" s="350"/>
      <c r="H2" s="350"/>
      <c r="I2" s="350"/>
      <c r="J2" s="350"/>
      <c r="K2" s="182"/>
    </row>
    <row r="3" spans="1:12" ht="15.75">
      <c r="A3" s="321" t="s">
        <v>259</v>
      </c>
      <c r="B3" s="321"/>
      <c r="C3" s="321"/>
      <c r="D3" s="321"/>
      <c r="E3" s="321"/>
      <c r="F3" s="321"/>
      <c r="G3" s="321"/>
      <c r="H3" s="321"/>
      <c r="I3" s="321"/>
      <c r="J3" s="320"/>
      <c r="K3" s="182"/>
    </row>
    <row r="4" spans="1:12" ht="15.75">
      <c r="A4" s="350" t="s">
        <v>227</v>
      </c>
      <c r="B4" s="350"/>
      <c r="C4" s="350"/>
      <c r="D4" s="350"/>
      <c r="E4" s="350"/>
      <c r="F4" s="350"/>
      <c r="G4" s="350"/>
      <c r="H4" s="350"/>
      <c r="I4" s="350"/>
      <c r="J4" s="350"/>
    </row>
    <row r="6" spans="1:12">
      <c r="A6" s="171" t="s">
        <v>172</v>
      </c>
    </row>
    <row r="7" spans="1:12" ht="60.75" customHeight="1">
      <c r="A7" s="349" t="s">
        <v>246</v>
      </c>
      <c r="B7" s="349"/>
      <c r="C7" s="349"/>
      <c r="D7" s="349"/>
      <c r="E7" s="349"/>
      <c r="F7" s="349"/>
      <c r="G7" s="349"/>
      <c r="H7" s="349"/>
      <c r="I7" s="349"/>
      <c r="J7" s="349"/>
      <c r="K7" s="174"/>
      <c r="L7" s="174"/>
    </row>
    <row r="8" spans="1:12">
      <c r="A8" s="172"/>
    </row>
    <row r="9" spans="1:12">
      <c r="C9" s="19"/>
      <c r="E9" s="351" t="s">
        <v>193</v>
      </c>
      <c r="F9" s="351"/>
      <c r="G9" s="351"/>
      <c r="H9" s="351"/>
      <c r="I9" s="351"/>
    </row>
    <row r="10" spans="1:12">
      <c r="B10" s="173"/>
      <c r="E10" s="173" t="s">
        <v>173</v>
      </c>
      <c r="F10" s="173"/>
      <c r="G10" s="173" t="s">
        <v>174</v>
      </c>
      <c r="H10" s="173"/>
      <c r="I10" s="173" t="s">
        <v>175</v>
      </c>
    </row>
    <row r="11" spans="1:12">
      <c r="B11" s="171" t="s">
        <v>185</v>
      </c>
      <c r="E11" s="171" t="s">
        <v>179</v>
      </c>
      <c r="F11" s="171"/>
      <c r="G11" s="171" t="s">
        <v>176</v>
      </c>
      <c r="H11" s="171"/>
      <c r="I11" s="171" t="s">
        <v>177</v>
      </c>
    </row>
    <row r="12" spans="1:12">
      <c r="B12" s="173"/>
    </row>
    <row r="13" spans="1:12">
      <c r="B13" s="173" t="s">
        <v>155</v>
      </c>
      <c r="D13" s="176"/>
      <c r="E13" s="209">
        <v>2533</v>
      </c>
      <c r="F13" s="179"/>
      <c r="G13" s="209">
        <v>470</v>
      </c>
      <c r="H13" s="180"/>
      <c r="I13" s="209">
        <v>26</v>
      </c>
      <c r="K13" s="13"/>
    </row>
    <row r="14" spans="1:12">
      <c r="B14" s="173"/>
      <c r="D14" s="93"/>
      <c r="F14" s="93"/>
    </row>
    <row r="15" spans="1:12">
      <c r="B15" s="173" t="s">
        <v>268</v>
      </c>
      <c r="D15" s="176"/>
      <c r="E15" s="209">
        <v>1961</v>
      </c>
      <c r="F15" s="179"/>
      <c r="G15" s="209">
        <v>352</v>
      </c>
      <c r="H15" s="180"/>
      <c r="I15" s="209">
        <v>20</v>
      </c>
    </row>
    <row r="16" spans="1:12">
      <c r="B16" s="173"/>
      <c r="D16" s="93"/>
      <c r="F16" s="93"/>
    </row>
    <row r="17" spans="1:17">
      <c r="B17" s="173" t="s">
        <v>178</v>
      </c>
      <c r="D17" s="176"/>
      <c r="E17" s="209">
        <v>1268</v>
      </c>
      <c r="F17" s="179"/>
      <c r="G17" s="209">
        <v>258</v>
      </c>
      <c r="H17" s="180"/>
      <c r="I17" s="209">
        <v>16</v>
      </c>
    </row>
    <row r="19" spans="1:17" ht="30" customHeight="1">
      <c r="A19" s="349" t="s">
        <v>247</v>
      </c>
      <c r="B19" s="349"/>
      <c r="C19" s="349"/>
      <c r="D19" s="349"/>
      <c r="E19" s="349"/>
      <c r="F19" s="349"/>
      <c r="G19" s="349"/>
      <c r="H19" s="349"/>
      <c r="I19" s="349"/>
      <c r="J19" s="349"/>
    </row>
    <row r="20" spans="1:17">
      <c r="A20" s="173"/>
    </row>
    <row r="21" spans="1:17">
      <c r="B21" s="351" t="s">
        <v>214</v>
      </c>
      <c r="C21" s="351"/>
      <c r="D21" s="351"/>
      <c r="E21" s="351"/>
      <c r="F21" s="351"/>
      <c r="G21" s="351"/>
      <c r="H21" s="351"/>
    </row>
    <row r="22" spans="1:17">
      <c r="B22" s="173" t="s">
        <v>91</v>
      </c>
      <c r="E22" s="175" t="s">
        <v>1</v>
      </c>
      <c r="K22" s="173"/>
    </row>
    <row r="23" spans="1:17">
      <c r="B23" s="173" t="s">
        <v>180</v>
      </c>
      <c r="D23" s="173"/>
      <c r="E23" s="209">
        <v>568</v>
      </c>
      <c r="K23" s="172"/>
    </row>
    <row r="24" spans="1:17">
      <c r="B24" s="173" t="s">
        <v>181</v>
      </c>
      <c r="D24" s="173"/>
      <c r="E24" s="209">
        <v>462</v>
      </c>
      <c r="K24" s="172"/>
    </row>
    <row r="25" spans="1:17">
      <c r="B25" s="173" t="s">
        <v>182</v>
      </c>
      <c r="D25" s="173"/>
      <c r="E25" s="209">
        <v>448</v>
      </c>
      <c r="K25" s="172"/>
      <c r="Q25" s="13"/>
    </row>
    <row r="26" spans="1:17">
      <c r="B26" s="173" t="s">
        <v>183</v>
      </c>
      <c r="D26" s="173"/>
      <c r="E26" s="209">
        <v>399</v>
      </c>
      <c r="K26" s="172"/>
    </row>
    <row r="27" spans="1:17">
      <c r="B27" s="173" t="s">
        <v>184</v>
      </c>
      <c r="D27" s="173"/>
      <c r="E27" s="209">
        <v>160</v>
      </c>
      <c r="K27" s="172"/>
    </row>
    <row r="29" spans="1:17">
      <c r="A29" s="171" t="s">
        <v>186</v>
      </c>
    </row>
    <row r="30" spans="1:17" ht="43.5" customHeight="1">
      <c r="A30" s="349" t="s">
        <v>248</v>
      </c>
      <c r="B30" s="349"/>
      <c r="C30" s="349"/>
      <c r="D30" s="349"/>
      <c r="E30" s="349"/>
      <c r="F30" s="349"/>
      <c r="G30" s="349"/>
      <c r="H30" s="349"/>
      <c r="I30" s="349"/>
      <c r="J30" s="349"/>
    </row>
    <row r="31" spans="1:17">
      <c r="A31" s="172"/>
      <c r="K31" s="3"/>
    </row>
    <row r="32" spans="1:17">
      <c r="A32" s="355"/>
      <c r="B32" s="355"/>
      <c r="C32" s="355"/>
      <c r="D32" s="173" t="s">
        <v>188</v>
      </c>
      <c r="E32" s="173" t="s">
        <v>173</v>
      </c>
      <c r="G32" s="3" t="s">
        <v>189</v>
      </c>
      <c r="I32" s="173" t="s">
        <v>1</v>
      </c>
      <c r="K32" s="3"/>
    </row>
    <row r="33" spans="1:20">
      <c r="A33" s="356" t="s">
        <v>194</v>
      </c>
      <c r="B33" s="356"/>
      <c r="C33" s="356"/>
      <c r="E33" s="177" t="s">
        <v>250</v>
      </c>
      <c r="G33" s="178" t="s">
        <v>64</v>
      </c>
      <c r="I33" s="177" t="s">
        <v>65</v>
      </c>
    </row>
    <row r="34" spans="1:20">
      <c r="A34" s="172"/>
      <c r="R34" s="212">
        <v>1485475.56</v>
      </c>
      <c r="T34" s="212">
        <v>1382044.54</v>
      </c>
    </row>
    <row r="35" spans="1:20">
      <c r="A35" s="352" t="s">
        <v>187</v>
      </c>
      <c r="B35" s="352"/>
      <c r="C35" s="352"/>
      <c r="D35" s="173"/>
      <c r="E35" s="210">
        <v>2609</v>
      </c>
      <c r="G35" s="212">
        <f>1485475.56</f>
        <v>1485475.56</v>
      </c>
      <c r="I35" s="212">
        <f>1382044.54</f>
        <v>1382044.54</v>
      </c>
    </row>
    <row r="36" spans="1:20">
      <c r="A36" s="172"/>
      <c r="R36" s="212">
        <v>635288</v>
      </c>
      <c r="T36" s="212">
        <v>708238</v>
      </c>
    </row>
    <row r="37" spans="1:20">
      <c r="A37" s="352" t="s">
        <v>58</v>
      </c>
      <c r="B37" s="352"/>
      <c r="C37" s="352"/>
      <c r="D37" s="173"/>
      <c r="E37" s="211">
        <v>1140</v>
      </c>
      <c r="G37" s="212">
        <f>635288</f>
        <v>635288</v>
      </c>
      <c r="I37" s="212">
        <f>708238</f>
        <v>708238</v>
      </c>
    </row>
    <row r="38" spans="1:20">
      <c r="A38" s="172"/>
      <c r="R38" s="213">
        <v>261531.78</v>
      </c>
      <c r="T38" s="212">
        <v>218733</v>
      </c>
    </row>
    <row r="39" spans="1:20">
      <c r="A39" s="352" t="s">
        <v>60</v>
      </c>
      <c r="B39" s="352"/>
      <c r="C39" s="352"/>
      <c r="D39" s="173"/>
      <c r="E39" s="211">
        <v>907</v>
      </c>
      <c r="G39" s="213">
        <f>261531.78</f>
        <v>261531.78</v>
      </c>
      <c r="I39" s="212">
        <f>218733</f>
        <v>218733</v>
      </c>
    </row>
    <row r="40" spans="1:20">
      <c r="A40" s="173"/>
    </row>
    <row r="41" spans="1:20" ht="48" customHeight="1">
      <c r="A41" s="357" t="s">
        <v>249</v>
      </c>
      <c r="B41" s="357"/>
      <c r="C41" s="357"/>
      <c r="D41" s="357"/>
      <c r="E41" s="357"/>
      <c r="F41" s="357"/>
      <c r="G41" s="357"/>
      <c r="H41" s="357"/>
      <c r="I41" s="357"/>
      <c r="J41" s="357"/>
    </row>
    <row r="42" spans="1:20" ht="17.25" customHeight="1">
      <c r="A42" s="181"/>
      <c r="B42" s="181"/>
      <c r="C42" s="181"/>
      <c r="D42" s="181"/>
      <c r="E42" s="181"/>
      <c r="F42" s="181"/>
      <c r="G42" s="181"/>
      <c r="H42" s="181"/>
      <c r="I42" s="181"/>
      <c r="J42" s="181"/>
    </row>
    <row r="43" spans="1:20" ht="74.25" customHeight="1">
      <c r="A43" s="353" t="s">
        <v>251</v>
      </c>
      <c r="B43" s="353"/>
      <c r="C43" s="353"/>
      <c r="D43" s="353"/>
      <c r="E43" s="353"/>
      <c r="F43" s="353"/>
      <c r="G43" s="353"/>
      <c r="H43" s="353"/>
      <c r="I43" s="353"/>
      <c r="J43" s="353"/>
    </row>
    <row r="44" spans="1:20">
      <c r="A44" s="173"/>
    </row>
    <row r="45" spans="1:20">
      <c r="A45" s="355"/>
      <c r="B45" s="355"/>
      <c r="C45" s="355"/>
      <c r="D45" s="173" t="s">
        <v>188</v>
      </c>
      <c r="E45" s="3" t="s">
        <v>189</v>
      </c>
      <c r="G45" s="173" t="s">
        <v>1</v>
      </c>
    </row>
    <row r="46" spans="1:20">
      <c r="B46" s="354" t="s">
        <v>195</v>
      </c>
      <c r="C46" s="354"/>
      <c r="E46" s="178" t="s">
        <v>64</v>
      </c>
      <c r="G46" s="177" t="s">
        <v>65</v>
      </c>
    </row>
    <row r="47" spans="1:20">
      <c r="A47" s="172"/>
    </row>
    <row r="48" spans="1:20">
      <c r="A48" s="352" t="s">
        <v>187</v>
      </c>
      <c r="B48" s="352"/>
      <c r="C48" s="352"/>
      <c r="D48" s="173"/>
      <c r="E48" s="212"/>
      <c r="G48" s="212"/>
    </row>
    <row r="49" spans="1:10">
      <c r="A49" s="172"/>
    </row>
    <row r="50" spans="1:10">
      <c r="A50" s="352" t="s">
        <v>58</v>
      </c>
      <c r="B50" s="352"/>
      <c r="C50" s="352"/>
      <c r="D50" s="173"/>
      <c r="E50" s="212"/>
      <c r="G50" s="212"/>
    </row>
    <row r="51" spans="1:10">
      <c r="A51" s="172"/>
    </row>
    <row r="52" spans="1:10">
      <c r="A52" s="352" t="s">
        <v>60</v>
      </c>
      <c r="B52" s="352"/>
      <c r="C52" s="352"/>
      <c r="D52" s="173"/>
      <c r="E52" s="212"/>
      <c r="G52" s="212"/>
    </row>
    <row r="54" spans="1:10">
      <c r="A54" s="3" t="s">
        <v>255</v>
      </c>
    </row>
    <row r="55" spans="1:10" ht="72.75" customHeight="1">
      <c r="A55" s="349" t="s">
        <v>252</v>
      </c>
      <c r="B55" s="349"/>
      <c r="C55" s="349"/>
      <c r="D55" s="349"/>
      <c r="E55" s="349"/>
      <c r="F55" s="349"/>
      <c r="G55" s="349"/>
      <c r="H55" s="349"/>
      <c r="I55" s="349"/>
      <c r="J55" s="349"/>
    </row>
    <row r="57" spans="1:10">
      <c r="E57" s="157">
        <v>2012</v>
      </c>
      <c r="F57" s="157"/>
      <c r="G57" s="157">
        <v>2009</v>
      </c>
      <c r="H57" s="156"/>
      <c r="I57" s="157">
        <v>2008</v>
      </c>
    </row>
    <row r="58" spans="1:10" ht="30.75" customHeight="1">
      <c r="A58" s="358" t="s">
        <v>253</v>
      </c>
      <c r="B58" s="358"/>
      <c r="C58" s="358"/>
      <c r="E58" s="212">
        <v>1281825.99</v>
      </c>
      <c r="F58" s="214"/>
      <c r="G58" s="212"/>
      <c r="H58" s="214"/>
      <c r="I58" s="212"/>
    </row>
    <row r="59" spans="1:10">
      <c r="E59" s="214"/>
      <c r="F59" s="214"/>
      <c r="G59" s="214"/>
      <c r="H59" s="214"/>
      <c r="I59" s="214"/>
    </row>
    <row r="60" spans="1:10">
      <c r="A60" s="3" t="s">
        <v>254</v>
      </c>
      <c r="B60" s="3"/>
      <c r="C60" s="3"/>
      <c r="E60" s="211">
        <v>1589</v>
      </c>
      <c r="F60" s="214"/>
      <c r="G60" s="211"/>
      <c r="H60" s="214"/>
      <c r="I60" s="211"/>
    </row>
    <row r="62" spans="1:10" ht="60.75" customHeight="1">
      <c r="A62" s="349" t="s">
        <v>256</v>
      </c>
      <c r="B62" s="349"/>
      <c r="C62" s="349"/>
      <c r="D62" s="349"/>
      <c r="E62" s="349"/>
      <c r="F62" s="349"/>
      <c r="G62" s="349"/>
      <c r="H62" s="349"/>
      <c r="I62" s="349"/>
      <c r="J62" s="349"/>
    </row>
    <row r="64" spans="1:10">
      <c r="B64" s="3" t="s">
        <v>190</v>
      </c>
      <c r="E64" s="212">
        <v>30000</v>
      </c>
    </row>
    <row r="66" spans="1:10" ht="28.5" customHeight="1">
      <c r="A66" s="349" t="s">
        <v>257</v>
      </c>
      <c r="B66" s="349"/>
      <c r="C66" s="349"/>
      <c r="D66" s="349"/>
      <c r="E66" s="349"/>
      <c r="F66" s="349"/>
      <c r="G66" s="349"/>
      <c r="H66" s="349"/>
      <c r="I66" s="349"/>
      <c r="J66" s="349"/>
    </row>
    <row r="67" spans="1:10">
      <c r="A67" s="172"/>
    </row>
    <row r="68" spans="1:10">
      <c r="B68" s="173" t="s">
        <v>191</v>
      </c>
      <c r="I68" s="212">
        <v>3073164</v>
      </c>
    </row>
    <row r="69" spans="1:10">
      <c r="A69" s="172"/>
    </row>
    <row r="70" spans="1:10">
      <c r="B70" s="173" t="s">
        <v>192</v>
      </c>
      <c r="I70" s="212">
        <v>500000</v>
      </c>
    </row>
    <row r="72" spans="1:10" ht="27.75" customHeight="1">
      <c r="A72" s="349" t="s">
        <v>258</v>
      </c>
      <c r="B72" s="349"/>
      <c r="C72" s="349"/>
      <c r="D72" s="349"/>
      <c r="E72" s="349"/>
      <c r="F72" s="349"/>
      <c r="G72" s="349"/>
      <c r="H72" s="349"/>
      <c r="I72" s="349"/>
      <c r="J72" s="349"/>
    </row>
    <row r="74" spans="1:10">
      <c r="B74" s="3" t="s">
        <v>190</v>
      </c>
      <c r="E74" s="212">
        <v>20000</v>
      </c>
    </row>
  </sheetData>
  <sheetProtection selectLockedCells="1"/>
  <mergeCells count="25">
    <mergeCell ref="A32:C32"/>
    <mergeCell ref="A33:C33"/>
    <mergeCell ref="A41:J41"/>
    <mergeCell ref="A58:C58"/>
    <mergeCell ref="A7:J7"/>
    <mergeCell ref="A30:J30"/>
    <mergeCell ref="A35:C35"/>
    <mergeCell ref="A37:C37"/>
    <mergeCell ref="A39:C39"/>
    <mergeCell ref="A62:J62"/>
    <mergeCell ref="A66:J66"/>
    <mergeCell ref="A72:J72"/>
    <mergeCell ref="A1:J1"/>
    <mergeCell ref="A2:J2"/>
    <mergeCell ref="A4:J4"/>
    <mergeCell ref="E9:I9"/>
    <mergeCell ref="A48:C48"/>
    <mergeCell ref="A50:C50"/>
    <mergeCell ref="A43:J43"/>
    <mergeCell ref="B21:H21"/>
    <mergeCell ref="A19:J19"/>
    <mergeCell ref="A52:C52"/>
    <mergeCell ref="A55:J55"/>
    <mergeCell ref="B46:C46"/>
    <mergeCell ref="A45:C45"/>
  </mergeCells>
  <pageMargins left="0.7" right="0.7" top="0.5" bottom="0.5" header="0.3" footer="0.3"/>
  <pageSetup scale="95" orientation="portrait" horizontalDpi="300" verticalDpi="300" r:id="rId1"/>
  <headerFoot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17" zoomScaleNormal="100" workbookViewId="0">
      <selection activeCell="N11" sqref="N11"/>
    </sheetView>
  </sheetViews>
  <sheetFormatPr defaultRowHeight="15"/>
  <cols>
    <col min="1" max="1" width="5" style="203" customWidth="1"/>
    <col min="6" max="6" width="9.42578125" customWidth="1"/>
    <col min="7" max="7" width="1.42578125" customWidth="1"/>
    <col min="8" max="8" width="12.85546875" customWidth="1"/>
    <col min="9" max="9" width="1.28515625" customWidth="1"/>
    <col min="10" max="10" width="14.42578125" customWidth="1"/>
    <col min="11" max="11" width="1" customWidth="1"/>
    <col min="12" max="12" width="14.7109375" customWidth="1"/>
  </cols>
  <sheetData>
    <row r="1" spans="1:14" ht="21">
      <c r="B1" s="362" t="s">
        <v>143</v>
      </c>
      <c r="C1" s="362"/>
      <c r="D1" s="362"/>
      <c r="E1" s="362"/>
      <c r="F1" s="362"/>
      <c r="G1" s="362"/>
      <c r="H1" s="362"/>
      <c r="I1" s="362"/>
      <c r="J1" s="362"/>
      <c r="K1" s="362"/>
      <c r="L1" s="362"/>
      <c r="M1" s="11"/>
      <c r="N1" s="11"/>
    </row>
    <row r="2" spans="1:14" ht="18.75">
      <c r="B2" s="395" t="s">
        <v>276</v>
      </c>
      <c r="C2" s="395"/>
      <c r="D2" s="395"/>
      <c r="E2" s="395"/>
      <c r="F2" s="395"/>
      <c r="G2" s="395"/>
      <c r="H2" s="395"/>
      <c r="I2" s="395"/>
      <c r="J2" s="395"/>
      <c r="K2" s="395"/>
      <c r="L2" s="395"/>
    </row>
    <row r="4" spans="1:14" ht="15.75">
      <c r="A4" s="205"/>
      <c r="B4" s="397" t="s">
        <v>275</v>
      </c>
      <c r="C4" s="397"/>
      <c r="D4" s="397"/>
      <c r="E4" s="397"/>
      <c r="F4" s="397"/>
      <c r="G4" s="397"/>
      <c r="H4" s="397"/>
      <c r="I4" s="397"/>
      <c r="J4" s="397"/>
      <c r="K4" s="397"/>
      <c r="L4" s="398"/>
    </row>
    <row r="5" spans="1:14">
      <c r="B5" s="151"/>
      <c r="C5" s="151"/>
      <c r="D5" s="151"/>
      <c r="E5" s="151"/>
      <c r="F5" s="151"/>
      <c r="G5" s="151"/>
      <c r="H5" s="151"/>
      <c r="I5" s="151"/>
      <c r="J5" s="151"/>
      <c r="K5" s="151"/>
      <c r="L5" s="151"/>
    </row>
    <row r="7" spans="1:14">
      <c r="J7" s="152" t="s">
        <v>156</v>
      </c>
      <c r="L7" s="3" t="s">
        <v>156</v>
      </c>
    </row>
    <row r="8" spans="1:14">
      <c r="B8" s="3" t="s">
        <v>245</v>
      </c>
      <c r="H8" s="12" t="s">
        <v>155</v>
      </c>
      <c r="J8" s="12" t="s">
        <v>157</v>
      </c>
      <c r="L8" s="178" t="s">
        <v>70</v>
      </c>
    </row>
    <row r="9" spans="1:14">
      <c r="H9" s="152"/>
      <c r="J9" s="152"/>
      <c r="L9" s="3"/>
    </row>
    <row r="10" spans="1:14" ht="16.5" customHeight="1">
      <c r="A10" s="168" t="s">
        <v>232</v>
      </c>
      <c r="B10" s="396" t="s">
        <v>144</v>
      </c>
      <c r="C10" s="396"/>
      <c r="D10" s="396"/>
      <c r="E10" s="396"/>
      <c r="H10" s="319">
        <f>SUM('Worksheet 1 - Demographics'!C13)</f>
        <v>2037</v>
      </c>
      <c r="J10" s="319">
        <f>SUM('Worksheet 1 - Demographics'!F13)</f>
        <v>200</v>
      </c>
      <c r="L10" s="319">
        <f>SUM('Worksheet 1 - Demographics'!G13)</f>
        <v>994</v>
      </c>
    </row>
    <row r="12" spans="1:14">
      <c r="A12" s="203" t="s">
        <v>233</v>
      </c>
      <c r="B12" s="19" t="s">
        <v>148</v>
      </c>
      <c r="H12" s="297">
        <v>0</v>
      </c>
      <c r="I12" s="208"/>
      <c r="J12" s="297">
        <v>0</v>
      </c>
      <c r="K12" s="208"/>
      <c r="L12" s="297">
        <v>0</v>
      </c>
    </row>
    <row r="14" spans="1:14">
      <c r="A14" s="203" t="s">
        <v>234</v>
      </c>
      <c r="B14" t="s">
        <v>145</v>
      </c>
      <c r="C14" s="105"/>
      <c r="D14" s="105"/>
      <c r="E14" s="105"/>
      <c r="H14" s="297">
        <f>SUM(H10)-H12</f>
        <v>2037</v>
      </c>
      <c r="I14" s="208"/>
      <c r="J14" s="297">
        <f>SUM(J10)-J12</f>
        <v>200</v>
      </c>
      <c r="K14" s="208"/>
      <c r="L14" s="297">
        <f>SUM(L10)-L12</f>
        <v>994</v>
      </c>
    </row>
    <row r="15" spans="1:14">
      <c r="C15" s="105"/>
      <c r="D15" s="105"/>
      <c r="E15" s="105"/>
      <c r="H15" s="151"/>
      <c r="J15" s="151"/>
      <c r="L15" s="151"/>
    </row>
    <row r="16" spans="1:14">
      <c r="C16" s="105"/>
      <c r="D16" s="105"/>
      <c r="E16" s="105"/>
      <c r="H16" s="151"/>
      <c r="J16" s="151"/>
      <c r="L16" s="151"/>
    </row>
    <row r="17" spans="1:12">
      <c r="B17" s="3" t="s">
        <v>158</v>
      </c>
    </row>
    <row r="18" spans="1:12">
      <c r="B18" s="3"/>
    </row>
    <row r="19" spans="1:12">
      <c r="A19" s="203" t="s">
        <v>235</v>
      </c>
      <c r="B19" t="s">
        <v>146</v>
      </c>
      <c r="H19" s="293">
        <f>SUM('Worksheet 6 - Premium Cost'!G27)</f>
        <v>6699818.4423468262</v>
      </c>
      <c r="J19" s="293">
        <f>SUM('Worksheet 6 - Premium Cost'!G40)</f>
        <v>705646.91893665644</v>
      </c>
      <c r="L19" s="293">
        <f>SUM('Worksheet 6 - Premium Cost'!G53)</f>
        <v>3507065.1871151822</v>
      </c>
    </row>
    <row r="21" spans="1:12">
      <c r="A21" s="203" t="s">
        <v>236</v>
      </c>
      <c r="B21" t="s">
        <v>229</v>
      </c>
      <c r="H21" s="298">
        <f>SUM('WS 7 - Other Operating Costs'!I23)</f>
        <v>232791.61814752832</v>
      </c>
      <c r="I21" s="105"/>
      <c r="J21" s="298">
        <f>SUM('WS 7 - Other Operating Costs'!K23)</f>
        <v>56950.576155869254</v>
      </c>
      <c r="K21" s="105"/>
      <c r="L21" s="298">
        <f>SUM('WS 7 - Other Operating Costs'!M23)</f>
        <v>193033.74417147093</v>
      </c>
    </row>
    <row r="23" spans="1:12">
      <c r="A23" s="203" t="s">
        <v>237</v>
      </c>
      <c r="B23" t="s">
        <v>147</v>
      </c>
      <c r="H23" s="299">
        <f>SUM(H19)+H21</f>
        <v>6932610.0604943549</v>
      </c>
      <c r="J23" s="299">
        <f>SUM(J19)+J21</f>
        <v>762597.49509252573</v>
      </c>
      <c r="L23" s="299">
        <f>SUM(L19)+L21</f>
        <v>3700098.931286653</v>
      </c>
    </row>
    <row r="24" spans="1:12">
      <c r="H24" s="159"/>
      <c r="J24" s="159"/>
      <c r="L24" s="159"/>
    </row>
    <row r="25" spans="1:12">
      <c r="H25" s="159"/>
      <c r="J25" s="159"/>
      <c r="L25" s="159"/>
    </row>
    <row r="26" spans="1:12">
      <c r="B26" s="3" t="s">
        <v>159</v>
      </c>
    </row>
    <row r="27" spans="1:12">
      <c r="B27" s="3"/>
    </row>
    <row r="28" spans="1:12">
      <c r="A28" s="203" t="s">
        <v>238</v>
      </c>
      <c r="B28" t="s">
        <v>149</v>
      </c>
      <c r="H28" s="293">
        <f>SUM('Worksheet 3 - Revenue'!N26)*'Worksheet 3 - Revenue'!T8</f>
        <v>0</v>
      </c>
      <c r="J28" s="293">
        <f>SUM('Worksheet 3 - Revenue'!P26)*'Worksheet 3 - Revenue'!T8</f>
        <v>0</v>
      </c>
      <c r="L28" s="293">
        <f>SUM('Worksheet 3 - Revenue'!Q26)*'Worksheet 3 - Revenue'!T8</f>
        <v>0</v>
      </c>
    </row>
    <row r="30" spans="1:12">
      <c r="A30" s="203" t="s">
        <v>239</v>
      </c>
      <c r="B30" t="s">
        <v>150</v>
      </c>
      <c r="H30" s="293">
        <f>SUM('Worksheet 3 - Revenue'!N27)*'Worksheet 3 - Revenue'!T8</f>
        <v>1123497.2407854614</v>
      </c>
      <c r="J30" s="293">
        <f>SUM('Worksheet 3 - Revenue'!P27)*'Worksheet 3 - Revenue'!T8</f>
        <v>110309.00744088969</v>
      </c>
      <c r="L30" s="293">
        <f>SUM('Worksheet 3 - Revenue'!Q27)*'Worksheet 3 - Revenue'!T8</f>
        <v>548235.76698122174</v>
      </c>
    </row>
    <row r="32" spans="1:12">
      <c r="A32" s="203" t="s">
        <v>240</v>
      </c>
      <c r="B32" t="s">
        <v>151</v>
      </c>
      <c r="C32" s="11"/>
      <c r="D32" s="11"/>
      <c r="E32" s="11"/>
      <c r="F32" s="11"/>
      <c r="H32" s="298">
        <f>SUM('Worksheet 4 - CHS Savings'!N17)</f>
        <v>1334633.7214030474</v>
      </c>
      <c r="I32" s="105"/>
      <c r="J32" s="298">
        <f>SUM('Worksheet 4 - CHS Savings'!N17)</f>
        <v>1334633.7214030474</v>
      </c>
      <c r="K32" s="105"/>
      <c r="L32" s="298">
        <f>SUM('Worksheet 4 - CHS Savings'!N25)</f>
        <v>834881.00634023233</v>
      </c>
    </row>
    <row r="34" spans="1:12">
      <c r="A34" s="203" t="s">
        <v>241</v>
      </c>
      <c r="B34" t="s">
        <v>152</v>
      </c>
      <c r="H34" s="298">
        <f>SUM(H28)+H30+H32</f>
        <v>2458130.9621885088</v>
      </c>
      <c r="J34" s="298">
        <f>SUM(J28)+J30+J32</f>
        <v>1444942.7288439372</v>
      </c>
      <c r="L34" s="298">
        <f>SUM(L28)+L30+L32</f>
        <v>1383116.7733214539</v>
      </c>
    </row>
    <row r="36" spans="1:12" ht="15.75" thickBot="1">
      <c r="A36" s="203" t="s">
        <v>242</v>
      </c>
      <c r="B36" t="s">
        <v>153</v>
      </c>
      <c r="H36" s="300">
        <f>SUM(H34)-H23</f>
        <v>-4474479.0983058456</v>
      </c>
      <c r="J36" s="300">
        <f>SUM(J34)-J23</f>
        <v>682345.23375141143</v>
      </c>
      <c r="L36" s="300">
        <f>SUM(L34)-L23</f>
        <v>-2316982.1579651991</v>
      </c>
    </row>
    <row r="37" spans="1:12" ht="15.75" thickTop="1">
      <c r="H37" s="160"/>
      <c r="J37" s="160"/>
      <c r="L37" s="160"/>
    </row>
    <row r="38" spans="1:12">
      <c r="H38" s="160"/>
      <c r="J38" s="160"/>
      <c r="L38" s="160"/>
    </row>
    <row r="39" spans="1:12">
      <c r="B39" s="3" t="s">
        <v>160</v>
      </c>
    </row>
    <row r="40" spans="1:12">
      <c r="B40" s="3"/>
    </row>
    <row r="41" spans="1:12">
      <c r="A41" s="203" t="s">
        <v>243</v>
      </c>
      <c r="B41" t="s">
        <v>154</v>
      </c>
      <c r="H41" s="301">
        <f>SUM(H34)/H23</f>
        <v>0.35457510818273585</v>
      </c>
      <c r="J41" s="301">
        <f>SUM(J34)/J23</f>
        <v>1.8947645883214219</v>
      </c>
      <c r="L41" s="301">
        <f>SUM(L34)/L23</f>
        <v>0.37380534926413339</v>
      </c>
    </row>
  </sheetData>
  <sheetProtection selectLockedCells="1"/>
  <mergeCells count="4">
    <mergeCell ref="B1:L1"/>
    <mergeCell ref="B2:L2"/>
    <mergeCell ref="B10:E10"/>
    <mergeCell ref="B4:L4"/>
  </mergeCells>
  <pageMargins left="0.5" right="0.5" top="0.75" bottom="0.75" header="0.3" footer="0.3"/>
  <pageSetup scale="95" orientation="portrait" horizontalDpi="300" verticalDpi="3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topLeftCell="A17" workbookViewId="0">
      <selection activeCell="C29" sqref="C29:G29"/>
    </sheetView>
  </sheetViews>
  <sheetFormatPr defaultRowHeight="15"/>
  <cols>
    <col min="1" max="1" width="2" customWidth="1"/>
    <col min="2" max="2" width="29.140625" customWidth="1"/>
    <col min="12" max="12" width="9.7109375" customWidth="1"/>
    <col min="13" max="13" width="9.5703125" customWidth="1"/>
    <col min="14" max="14" width="9.7109375" customWidth="1"/>
    <col min="15" max="15" width="2" customWidth="1"/>
  </cols>
  <sheetData>
    <row r="1" spans="2:16" ht="21">
      <c r="B1" s="362" t="s">
        <v>231</v>
      </c>
      <c r="C1" s="362"/>
      <c r="D1" s="362"/>
      <c r="E1" s="362"/>
      <c r="F1" s="362"/>
      <c r="G1" s="362"/>
      <c r="H1" s="362"/>
      <c r="I1" s="362"/>
      <c r="J1" s="362"/>
      <c r="K1" s="362"/>
      <c r="L1" s="362"/>
      <c r="M1" s="362"/>
      <c r="N1" s="362"/>
      <c r="O1" s="362"/>
      <c r="P1" s="362"/>
    </row>
    <row r="2" spans="2:16" ht="15.75">
      <c r="B2" s="363" t="s">
        <v>226</v>
      </c>
      <c r="C2" s="363"/>
      <c r="D2" s="363"/>
      <c r="E2" s="363"/>
      <c r="F2" s="363"/>
      <c r="G2" s="363"/>
      <c r="H2" s="363"/>
      <c r="I2" s="363"/>
      <c r="J2" s="363"/>
      <c r="K2" s="363"/>
      <c r="L2" s="363"/>
      <c r="M2" s="363"/>
      <c r="N2" s="363"/>
      <c r="O2" s="363"/>
      <c r="P2" s="363"/>
    </row>
    <row r="5" spans="2:16" ht="15" customHeight="1">
      <c r="B5" s="361" t="s">
        <v>207</v>
      </c>
      <c r="C5" s="361"/>
      <c r="D5" s="361"/>
      <c r="E5" s="361"/>
      <c r="F5" s="361"/>
      <c r="G5" s="361"/>
      <c r="H5" s="361"/>
      <c r="I5" s="361"/>
      <c r="J5" s="361"/>
      <c r="K5" s="361"/>
      <c r="L5" s="361"/>
      <c r="M5" s="361"/>
      <c r="N5" s="361"/>
      <c r="O5" s="361"/>
      <c r="P5" s="361"/>
    </row>
    <row r="6" spans="2:16">
      <c r="C6" s="302" t="s">
        <v>270</v>
      </c>
      <c r="D6" s="302" t="s">
        <v>271</v>
      </c>
      <c r="E6" s="302" t="s">
        <v>272</v>
      </c>
      <c r="F6" s="302" t="s">
        <v>273</v>
      </c>
      <c r="G6" s="302" t="s">
        <v>274</v>
      </c>
      <c r="H6" s="302"/>
      <c r="I6" s="302"/>
      <c r="J6" s="302"/>
      <c r="K6" s="302"/>
      <c r="L6" s="302"/>
      <c r="M6" s="302"/>
      <c r="N6" s="302"/>
      <c r="P6" s="164" t="s">
        <v>196</v>
      </c>
    </row>
    <row r="7" spans="2:16">
      <c r="B7" s="204" t="s">
        <v>244</v>
      </c>
      <c r="C7" s="3"/>
      <c r="D7" s="3"/>
      <c r="E7" s="3"/>
      <c r="F7" s="3"/>
      <c r="G7" s="3"/>
      <c r="H7" s="3"/>
      <c r="I7" s="3"/>
      <c r="J7" s="3"/>
      <c r="K7" s="3"/>
      <c r="L7" s="3"/>
      <c r="M7" s="3"/>
      <c r="N7" s="3"/>
      <c r="P7" s="202"/>
    </row>
    <row r="8" spans="2:16">
      <c r="B8" s="184" t="s">
        <v>15</v>
      </c>
      <c r="C8" s="216">
        <v>268</v>
      </c>
      <c r="D8" s="216">
        <v>3</v>
      </c>
      <c r="E8" s="216">
        <v>9</v>
      </c>
      <c r="F8" s="323">
        <v>873</v>
      </c>
      <c r="G8" s="216">
        <v>397</v>
      </c>
      <c r="H8" s="215"/>
      <c r="I8" s="215"/>
      <c r="J8" s="210"/>
      <c r="K8" s="210"/>
      <c r="L8" s="210"/>
      <c r="M8" s="210"/>
      <c r="N8" s="210"/>
      <c r="P8">
        <f>SUM(C8:N8)</f>
        <v>1550</v>
      </c>
    </row>
    <row r="9" spans="2:16">
      <c r="B9" s="184" t="s">
        <v>16</v>
      </c>
      <c r="C9" s="216">
        <v>105</v>
      </c>
      <c r="D9" s="216">
        <v>40</v>
      </c>
      <c r="E9" s="216">
        <v>0</v>
      </c>
      <c r="F9" s="323">
        <v>494</v>
      </c>
      <c r="G9" s="216">
        <v>208</v>
      </c>
      <c r="H9" s="215"/>
      <c r="I9" s="215"/>
      <c r="J9" s="210"/>
      <c r="K9" s="210"/>
      <c r="L9" s="210"/>
      <c r="M9" s="210"/>
      <c r="N9" s="210"/>
      <c r="P9">
        <f t="shared" ref="P9:P20" si="0">SUM(C9:N9)</f>
        <v>847</v>
      </c>
    </row>
    <row r="10" spans="2:16">
      <c r="B10" s="184" t="s">
        <v>17</v>
      </c>
      <c r="C10" s="216">
        <v>155</v>
      </c>
      <c r="D10" s="216">
        <v>60</v>
      </c>
      <c r="E10" s="216">
        <v>23</v>
      </c>
      <c r="F10" s="323">
        <v>373</v>
      </c>
      <c r="G10" s="216">
        <v>195</v>
      </c>
      <c r="H10" s="215"/>
      <c r="I10" s="215"/>
      <c r="J10" s="210"/>
      <c r="K10" s="210"/>
      <c r="L10" s="210"/>
      <c r="M10" s="210"/>
      <c r="N10" s="210"/>
      <c r="P10">
        <f t="shared" si="0"/>
        <v>806</v>
      </c>
    </row>
    <row r="11" spans="2:16">
      <c r="B11" s="184" t="s">
        <v>18</v>
      </c>
      <c r="C11" s="216">
        <v>119</v>
      </c>
      <c r="D11" s="216">
        <v>72</v>
      </c>
      <c r="E11" s="216">
        <v>25</v>
      </c>
      <c r="F11" s="323">
        <v>499</v>
      </c>
      <c r="G11" s="216">
        <v>181</v>
      </c>
      <c r="H11" s="215"/>
      <c r="I11" s="215"/>
      <c r="J11" s="210"/>
      <c r="K11" s="210"/>
      <c r="L11" s="210"/>
      <c r="M11" s="210"/>
      <c r="N11" s="210"/>
      <c r="P11">
        <f t="shared" si="0"/>
        <v>896</v>
      </c>
    </row>
    <row r="12" spans="2:16">
      <c r="B12" s="184" t="s">
        <v>19</v>
      </c>
      <c r="C12" s="216">
        <v>222</v>
      </c>
      <c r="D12" s="216">
        <v>51</v>
      </c>
      <c r="E12" s="216">
        <v>14</v>
      </c>
      <c r="F12" s="323">
        <v>585</v>
      </c>
      <c r="G12" s="216">
        <v>221</v>
      </c>
      <c r="H12" s="215"/>
      <c r="I12" s="215"/>
      <c r="J12" s="210"/>
      <c r="K12" s="210"/>
      <c r="L12" s="210"/>
      <c r="M12" s="210"/>
      <c r="N12" s="210"/>
      <c r="P12">
        <f t="shared" si="0"/>
        <v>1093</v>
      </c>
    </row>
    <row r="13" spans="2:16">
      <c r="B13" s="184" t="s">
        <v>20</v>
      </c>
      <c r="C13" s="216">
        <v>146</v>
      </c>
      <c r="D13" s="216">
        <v>4</v>
      </c>
      <c r="E13" s="216">
        <v>50</v>
      </c>
      <c r="F13" s="323">
        <v>483</v>
      </c>
      <c r="G13" s="216">
        <v>174</v>
      </c>
      <c r="H13" s="215"/>
      <c r="I13" s="215"/>
      <c r="J13" s="210"/>
      <c r="K13" s="210"/>
      <c r="L13" s="210"/>
      <c r="M13" s="210"/>
      <c r="N13" s="210"/>
      <c r="P13">
        <f t="shared" si="0"/>
        <v>857</v>
      </c>
    </row>
    <row r="14" spans="2:16">
      <c r="B14" s="184" t="s">
        <v>21</v>
      </c>
      <c r="C14" s="216">
        <v>259</v>
      </c>
      <c r="D14" s="216">
        <v>35</v>
      </c>
      <c r="E14" s="216">
        <v>50</v>
      </c>
      <c r="F14" s="323">
        <v>541</v>
      </c>
      <c r="G14" s="216">
        <v>309</v>
      </c>
      <c r="H14" s="215"/>
      <c r="I14" s="215"/>
      <c r="J14" s="210"/>
      <c r="K14" s="210"/>
      <c r="L14" s="210"/>
      <c r="M14" s="210"/>
      <c r="N14" s="210"/>
      <c r="P14">
        <f t="shared" si="0"/>
        <v>1194</v>
      </c>
    </row>
    <row r="15" spans="2:16">
      <c r="B15" s="184" t="s">
        <v>22</v>
      </c>
      <c r="C15" s="216">
        <v>156</v>
      </c>
      <c r="D15" s="216">
        <v>27</v>
      </c>
      <c r="E15" s="216">
        <v>11</v>
      </c>
      <c r="F15" s="323">
        <v>417</v>
      </c>
      <c r="G15" s="216">
        <v>87</v>
      </c>
      <c r="H15" s="215"/>
      <c r="I15" s="215"/>
      <c r="J15" s="210"/>
      <c r="K15" s="210"/>
      <c r="L15" s="210"/>
      <c r="M15" s="210"/>
      <c r="N15" s="210"/>
      <c r="P15">
        <f t="shared" si="0"/>
        <v>698</v>
      </c>
    </row>
    <row r="16" spans="2:16">
      <c r="B16" s="184" t="s">
        <v>23</v>
      </c>
      <c r="C16" s="216">
        <v>181</v>
      </c>
      <c r="D16" s="216">
        <v>19</v>
      </c>
      <c r="E16" s="217">
        <v>0</v>
      </c>
      <c r="F16" s="323">
        <v>297</v>
      </c>
      <c r="G16" s="216">
        <v>117</v>
      </c>
      <c r="H16" s="215"/>
      <c r="I16" s="215"/>
      <c r="J16" s="210"/>
      <c r="K16" s="210"/>
      <c r="L16" s="210"/>
      <c r="M16" s="210"/>
      <c r="N16" s="210"/>
      <c r="P16">
        <f t="shared" si="0"/>
        <v>614</v>
      </c>
    </row>
    <row r="17" spans="2:18">
      <c r="B17" s="184" t="s">
        <v>24</v>
      </c>
      <c r="C17" s="216">
        <v>229</v>
      </c>
      <c r="D17" s="216">
        <v>35</v>
      </c>
      <c r="E17" s="216">
        <v>72</v>
      </c>
      <c r="F17" s="323">
        <v>712</v>
      </c>
      <c r="G17" s="216">
        <v>227</v>
      </c>
      <c r="H17" s="215"/>
      <c r="I17" s="215"/>
      <c r="J17" s="210"/>
      <c r="K17" s="210"/>
      <c r="L17" s="210"/>
      <c r="M17" s="210"/>
      <c r="N17" s="210"/>
      <c r="P17">
        <f t="shared" si="0"/>
        <v>1275</v>
      </c>
    </row>
    <row r="18" spans="2:18">
      <c r="B18" s="184" t="s">
        <v>25</v>
      </c>
      <c r="C18" s="216">
        <v>574</v>
      </c>
      <c r="D18" s="216">
        <v>34</v>
      </c>
      <c r="E18" s="216">
        <v>112</v>
      </c>
      <c r="F18" s="323">
        <v>664</v>
      </c>
      <c r="G18" s="216">
        <v>189</v>
      </c>
      <c r="H18" s="215"/>
      <c r="I18" s="215"/>
      <c r="J18" s="210"/>
      <c r="K18" s="210"/>
      <c r="L18" s="210"/>
      <c r="M18" s="210"/>
      <c r="N18" s="210"/>
      <c r="P18">
        <f t="shared" si="0"/>
        <v>1573</v>
      </c>
    </row>
    <row r="19" spans="2:18">
      <c r="B19" s="184" t="s">
        <v>26</v>
      </c>
      <c r="C19" s="216">
        <v>363</v>
      </c>
      <c r="D19" s="216">
        <v>41</v>
      </c>
      <c r="E19" s="216">
        <v>96</v>
      </c>
      <c r="F19" s="323">
        <v>740</v>
      </c>
      <c r="G19" s="216">
        <v>201</v>
      </c>
      <c r="H19" s="215"/>
      <c r="I19" s="215"/>
      <c r="J19" s="210"/>
      <c r="K19" s="210"/>
      <c r="L19" s="210"/>
      <c r="M19" s="210"/>
      <c r="N19" s="210"/>
      <c r="P19">
        <f t="shared" si="0"/>
        <v>1441</v>
      </c>
    </row>
    <row r="20" spans="2:18">
      <c r="B20" s="184" t="s">
        <v>27</v>
      </c>
      <c r="C20" s="216">
        <v>199</v>
      </c>
      <c r="D20" s="216">
        <v>10</v>
      </c>
      <c r="E20" s="216">
        <v>21</v>
      </c>
      <c r="F20" s="323">
        <v>563</v>
      </c>
      <c r="G20" s="216">
        <v>73</v>
      </c>
      <c r="H20" s="215"/>
      <c r="I20" s="215"/>
      <c r="J20" s="210"/>
      <c r="K20" s="210"/>
      <c r="L20" s="210"/>
      <c r="M20" s="210"/>
      <c r="N20" s="210"/>
      <c r="P20">
        <f t="shared" si="0"/>
        <v>866</v>
      </c>
    </row>
    <row r="21" spans="2:18">
      <c r="B21" s="184" t="s">
        <v>208</v>
      </c>
      <c r="C21" s="216">
        <v>52</v>
      </c>
      <c r="D21" s="216">
        <v>71</v>
      </c>
      <c r="E21" s="216">
        <v>7</v>
      </c>
      <c r="F21" s="323">
        <v>223</v>
      </c>
      <c r="G21" s="216">
        <v>31</v>
      </c>
      <c r="H21" s="215"/>
      <c r="I21" s="215"/>
      <c r="J21" s="210"/>
      <c r="K21" s="210"/>
      <c r="L21" s="210"/>
      <c r="M21" s="210"/>
      <c r="N21" s="210"/>
      <c r="P21">
        <f>SUM(C21:N23)</f>
        <v>951</v>
      </c>
      <c r="Q21" s="360" t="s">
        <v>213</v>
      </c>
      <c r="R21" s="360"/>
    </row>
    <row r="22" spans="2:18">
      <c r="B22" s="184" t="s">
        <v>209</v>
      </c>
      <c r="C22" s="216">
        <v>159</v>
      </c>
      <c r="D22" s="216">
        <v>8</v>
      </c>
      <c r="E22" s="216">
        <v>7</v>
      </c>
      <c r="F22" s="323">
        <v>142</v>
      </c>
      <c r="G22" s="216">
        <v>60</v>
      </c>
      <c r="H22" s="215"/>
      <c r="I22" s="215"/>
      <c r="J22" s="210"/>
      <c r="K22" s="210"/>
      <c r="L22" s="210"/>
      <c r="M22" s="210"/>
      <c r="N22" s="210"/>
    </row>
    <row r="23" spans="2:18">
      <c r="B23" s="184" t="s">
        <v>210</v>
      </c>
      <c r="C23" s="216">
        <v>63</v>
      </c>
      <c r="D23" s="216">
        <v>0</v>
      </c>
      <c r="E23" s="216">
        <v>0</v>
      </c>
      <c r="F23" s="323">
        <v>123</v>
      </c>
      <c r="G23" s="216">
        <v>5</v>
      </c>
      <c r="H23" s="215"/>
      <c r="I23" s="215"/>
      <c r="J23" s="210"/>
      <c r="K23" s="210"/>
      <c r="L23" s="210"/>
      <c r="M23" s="210"/>
      <c r="N23" s="210"/>
    </row>
    <row r="24" spans="2:18">
      <c r="B24" s="19"/>
      <c r="C24" s="163"/>
      <c r="E24" s="183"/>
    </row>
    <row r="28" spans="2:18">
      <c r="B28" s="359" t="s">
        <v>206</v>
      </c>
      <c r="C28" s="359"/>
      <c r="D28" s="359"/>
      <c r="E28" s="359"/>
      <c r="F28" s="359"/>
      <c r="G28" s="359"/>
      <c r="H28" s="359"/>
      <c r="I28" s="359"/>
      <c r="J28" s="359"/>
      <c r="K28" s="359"/>
      <c r="L28" s="359"/>
      <c r="M28" s="359"/>
      <c r="N28" s="359"/>
      <c r="O28" s="359"/>
      <c r="P28" s="359"/>
    </row>
    <row r="29" spans="2:18">
      <c r="B29" s="164"/>
      <c r="C29" s="302" t="s">
        <v>270</v>
      </c>
      <c r="D29" s="302" t="s">
        <v>271</v>
      </c>
      <c r="E29" s="302" t="s">
        <v>272</v>
      </c>
      <c r="F29" s="302" t="s">
        <v>273</v>
      </c>
      <c r="G29" s="302" t="s">
        <v>274</v>
      </c>
      <c r="H29" s="302"/>
      <c r="I29" s="302"/>
      <c r="J29" s="302"/>
      <c r="K29" s="302"/>
      <c r="L29" s="302"/>
      <c r="M29" s="302"/>
      <c r="N29" s="302"/>
      <c r="O29" s="164"/>
      <c r="P29" s="164"/>
    </row>
    <row r="30" spans="2:18">
      <c r="B30" s="204" t="s">
        <v>244</v>
      </c>
      <c r="C30" s="3"/>
      <c r="D30" s="3"/>
      <c r="E30" s="3"/>
      <c r="F30" s="3"/>
      <c r="G30" s="3"/>
      <c r="H30" s="3"/>
      <c r="I30" s="3"/>
      <c r="J30" s="3"/>
      <c r="K30" s="3"/>
      <c r="L30" s="3"/>
      <c r="M30" s="3"/>
      <c r="N30" s="3"/>
      <c r="O30" s="202"/>
      <c r="P30" s="202"/>
    </row>
    <row r="31" spans="2:18">
      <c r="B31" s="3" t="s">
        <v>197</v>
      </c>
      <c r="C31" s="185"/>
      <c r="D31" s="185"/>
      <c r="E31" s="185"/>
      <c r="F31" s="185"/>
      <c r="G31" s="185"/>
      <c r="H31" s="185"/>
      <c r="I31" s="185"/>
      <c r="J31" s="185"/>
      <c r="K31" s="185"/>
      <c r="L31" s="185"/>
      <c r="M31" s="185"/>
      <c r="N31" s="185"/>
      <c r="P31" s="164" t="s">
        <v>212</v>
      </c>
    </row>
    <row r="32" spans="2:18">
      <c r="B32" s="3" t="s">
        <v>198</v>
      </c>
      <c r="C32" s="211">
        <v>446</v>
      </c>
      <c r="D32" s="211">
        <v>85</v>
      </c>
      <c r="E32" s="211">
        <v>49</v>
      </c>
      <c r="F32" s="211">
        <v>1086</v>
      </c>
      <c r="G32" s="211">
        <v>303</v>
      </c>
      <c r="H32" s="210"/>
      <c r="I32" s="210"/>
      <c r="J32" s="210"/>
      <c r="K32" s="210"/>
      <c r="L32" s="210"/>
      <c r="M32" s="210"/>
      <c r="N32" s="210"/>
      <c r="P32">
        <f t="shared" ref="P32:P38" si="1">SUM(C32:N32)</f>
        <v>1969</v>
      </c>
    </row>
    <row r="33" spans="2:18">
      <c r="B33" s="3" t="s">
        <v>199</v>
      </c>
      <c r="C33" s="211">
        <v>877</v>
      </c>
      <c r="D33" s="211">
        <v>182</v>
      </c>
      <c r="E33" s="211">
        <v>129</v>
      </c>
      <c r="F33" s="211">
        <v>1625</v>
      </c>
      <c r="G33" s="211">
        <v>532</v>
      </c>
      <c r="H33" s="210"/>
      <c r="I33" s="210"/>
      <c r="J33" s="210"/>
      <c r="K33" s="210"/>
      <c r="L33" s="210"/>
      <c r="M33" s="210"/>
      <c r="N33" s="210"/>
      <c r="P33">
        <f t="shared" si="1"/>
        <v>3345</v>
      </c>
    </row>
    <row r="34" spans="2:18">
      <c r="B34" s="3" t="s">
        <v>200</v>
      </c>
      <c r="C34" s="211">
        <v>526</v>
      </c>
      <c r="D34" s="211">
        <v>92</v>
      </c>
      <c r="E34" s="211">
        <v>49</v>
      </c>
      <c r="F34" s="211">
        <v>764</v>
      </c>
      <c r="G34" s="211">
        <v>287</v>
      </c>
      <c r="H34" s="210"/>
      <c r="I34" s="210"/>
      <c r="J34" s="210"/>
      <c r="K34" s="210"/>
      <c r="L34" s="210"/>
      <c r="M34" s="210"/>
      <c r="N34" s="210"/>
      <c r="P34">
        <f t="shared" si="1"/>
        <v>1718</v>
      </c>
    </row>
    <row r="35" spans="2:18">
      <c r="B35" s="3" t="s">
        <v>201</v>
      </c>
      <c r="C35" s="211">
        <v>407</v>
      </c>
      <c r="D35" s="211">
        <v>87</v>
      </c>
      <c r="E35" s="211">
        <v>45</v>
      </c>
      <c r="F35" s="211">
        <v>613</v>
      </c>
      <c r="G35" s="211">
        <v>261</v>
      </c>
      <c r="H35" s="210"/>
      <c r="I35" s="210"/>
      <c r="J35" s="210"/>
      <c r="K35" s="210"/>
      <c r="L35" s="210"/>
      <c r="M35" s="210"/>
      <c r="N35" s="210"/>
      <c r="P35">
        <f t="shared" si="1"/>
        <v>1413</v>
      </c>
    </row>
    <row r="36" spans="2:18">
      <c r="B36" s="3" t="s">
        <v>202</v>
      </c>
      <c r="C36" s="211">
        <v>170</v>
      </c>
      <c r="D36" s="211">
        <v>47</v>
      </c>
      <c r="E36" s="211">
        <v>24</v>
      </c>
      <c r="F36" s="211">
        <v>300</v>
      </c>
      <c r="G36" s="211">
        <v>156</v>
      </c>
      <c r="H36" s="210"/>
      <c r="I36" s="210"/>
      <c r="J36" s="210"/>
      <c r="K36" s="210"/>
      <c r="L36" s="210"/>
      <c r="M36" s="210"/>
      <c r="N36" s="210"/>
      <c r="P36">
        <f t="shared" si="1"/>
        <v>697</v>
      </c>
    </row>
    <row r="37" spans="2:18" ht="15" customHeight="1">
      <c r="B37" s="3" t="s">
        <v>203</v>
      </c>
      <c r="C37" s="211">
        <v>65</v>
      </c>
      <c r="D37" s="211">
        <v>11</v>
      </c>
      <c r="E37" s="211">
        <v>11</v>
      </c>
      <c r="F37" s="211">
        <v>110</v>
      </c>
      <c r="G37" s="211">
        <v>74</v>
      </c>
      <c r="H37" s="210"/>
      <c r="I37" s="210"/>
      <c r="J37" s="210"/>
      <c r="K37" s="210"/>
      <c r="L37" s="210"/>
      <c r="M37" s="210"/>
      <c r="N37" s="210"/>
      <c r="P37">
        <f t="shared" si="1"/>
        <v>271</v>
      </c>
    </row>
    <row r="38" spans="2:18">
      <c r="B38" s="3" t="s">
        <v>204</v>
      </c>
      <c r="C38" s="211">
        <v>35</v>
      </c>
      <c r="D38" s="211">
        <v>15</v>
      </c>
      <c r="E38" s="211">
        <v>5</v>
      </c>
      <c r="F38" s="211">
        <v>78</v>
      </c>
      <c r="G38" s="211">
        <v>53</v>
      </c>
      <c r="H38" s="210"/>
      <c r="I38" s="210"/>
      <c r="J38" s="210"/>
      <c r="K38" s="210"/>
      <c r="L38" s="210"/>
      <c r="M38" s="210"/>
      <c r="N38" s="210"/>
      <c r="P38">
        <f t="shared" si="1"/>
        <v>186</v>
      </c>
    </row>
    <row r="39" spans="2:18">
      <c r="B39" s="3" t="s">
        <v>205</v>
      </c>
      <c r="C39" s="185"/>
      <c r="D39" s="185"/>
      <c r="E39" s="185"/>
      <c r="F39" s="185"/>
      <c r="G39" s="185"/>
      <c r="H39" s="185"/>
      <c r="I39" s="185"/>
      <c r="J39" s="185"/>
      <c r="K39" s="185"/>
      <c r="L39" s="185"/>
      <c r="M39" s="185"/>
      <c r="N39" s="185"/>
      <c r="P39" s="164" t="s">
        <v>211</v>
      </c>
      <c r="Q39" s="164" t="s">
        <v>212</v>
      </c>
      <c r="R39" s="164" t="s">
        <v>1</v>
      </c>
    </row>
    <row r="40" spans="2:18">
      <c r="B40" s="3" t="s">
        <v>198</v>
      </c>
      <c r="C40" s="324">
        <v>449</v>
      </c>
      <c r="D40" s="324">
        <v>61</v>
      </c>
      <c r="E40" s="324">
        <v>21</v>
      </c>
      <c r="F40" s="324">
        <v>1415</v>
      </c>
      <c r="G40" s="324">
        <v>281</v>
      </c>
      <c r="H40" s="218"/>
      <c r="I40" s="218"/>
      <c r="J40" s="218"/>
      <c r="K40" s="218"/>
      <c r="L40" s="218"/>
      <c r="M40" s="218"/>
      <c r="N40" s="218"/>
      <c r="P40">
        <f t="shared" ref="P40:P46" si="2">SUM(C40:N40)</f>
        <v>2227</v>
      </c>
      <c r="Q40">
        <f>SUM(P32)</f>
        <v>1969</v>
      </c>
      <c r="R40">
        <f>SUM(P40:Q40)</f>
        <v>4196</v>
      </c>
    </row>
    <row r="41" spans="2:18">
      <c r="B41" s="3" t="s">
        <v>199</v>
      </c>
      <c r="C41" s="324">
        <v>436</v>
      </c>
      <c r="D41" s="324">
        <v>45</v>
      </c>
      <c r="E41" s="324">
        <v>38</v>
      </c>
      <c r="F41" s="324">
        <v>1117</v>
      </c>
      <c r="G41" s="324">
        <v>259</v>
      </c>
      <c r="H41" s="218"/>
      <c r="I41" s="218"/>
      <c r="J41" s="218"/>
      <c r="K41" s="218"/>
      <c r="L41" s="218"/>
      <c r="M41" s="218"/>
      <c r="N41" s="218"/>
      <c r="P41">
        <f t="shared" si="2"/>
        <v>1895</v>
      </c>
      <c r="Q41">
        <f t="shared" ref="Q41:Q46" si="3">SUM(P33)</f>
        <v>3345</v>
      </c>
      <c r="R41">
        <f t="shared" ref="R41:R46" si="4">SUM(P41:Q41)</f>
        <v>5240</v>
      </c>
    </row>
    <row r="42" spans="2:18">
      <c r="B42" s="3" t="s">
        <v>200</v>
      </c>
      <c r="C42" s="324">
        <v>249</v>
      </c>
      <c r="D42" s="324">
        <v>38</v>
      </c>
      <c r="E42" s="324">
        <v>17</v>
      </c>
      <c r="F42" s="324">
        <v>705</v>
      </c>
      <c r="G42" s="324">
        <v>211</v>
      </c>
      <c r="H42" s="218"/>
      <c r="I42" s="218"/>
      <c r="J42" s="218"/>
      <c r="K42" s="218"/>
      <c r="L42" s="218"/>
      <c r="M42" s="218"/>
      <c r="N42" s="218"/>
      <c r="P42">
        <f t="shared" si="2"/>
        <v>1220</v>
      </c>
      <c r="Q42">
        <f t="shared" si="3"/>
        <v>1718</v>
      </c>
      <c r="R42">
        <f t="shared" si="4"/>
        <v>2938</v>
      </c>
    </row>
    <row r="43" spans="2:18">
      <c r="B43" s="3" t="s">
        <v>201</v>
      </c>
      <c r="C43" s="324">
        <v>184</v>
      </c>
      <c r="D43" s="324">
        <v>25</v>
      </c>
      <c r="E43" s="324">
        <v>10</v>
      </c>
      <c r="F43" s="324">
        <v>504</v>
      </c>
      <c r="G43" s="324">
        <v>164</v>
      </c>
      <c r="H43" s="218"/>
      <c r="I43" s="218"/>
      <c r="J43" s="218"/>
      <c r="K43" s="218"/>
      <c r="L43" s="218"/>
      <c r="M43" s="218"/>
      <c r="N43" s="218"/>
      <c r="P43">
        <f t="shared" si="2"/>
        <v>887</v>
      </c>
      <c r="Q43">
        <f t="shared" si="3"/>
        <v>1413</v>
      </c>
      <c r="R43">
        <f t="shared" si="4"/>
        <v>2300</v>
      </c>
    </row>
    <row r="44" spans="2:18">
      <c r="B44" s="3" t="s">
        <v>202</v>
      </c>
      <c r="C44" s="324">
        <v>97</v>
      </c>
      <c r="D44" s="324">
        <v>18</v>
      </c>
      <c r="E44" s="324">
        <v>8</v>
      </c>
      <c r="F44" s="324">
        <v>292</v>
      </c>
      <c r="G44" s="324">
        <v>130</v>
      </c>
      <c r="H44" s="218"/>
      <c r="I44" s="218"/>
      <c r="J44" s="218"/>
      <c r="K44" s="218"/>
      <c r="L44" s="218"/>
      <c r="M44" s="218"/>
      <c r="N44" s="218"/>
      <c r="P44">
        <f t="shared" si="2"/>
        <v>545</v>
      </c>
      <c r="Q44">
        <f t="shared" si="3"/>
        <v>697</v>
      </c>
      <c r="R44">
        <f t="shared" si="4"/>
        <v>1242</v>
      </c>
    </row>
    <row r="45" spans="2:18">
      <c r="B45" s="3" t="s">
        <v>203</v>
      </c>
      <c r="C45" s="324">
        <v>27</v>
      </c>
      <c r="D45" s="324">
        <v>10</v>
      </c>
      <c r="E45" s="324">
        <v>3</v>
      </c>
      <c r="F45" s="324">
        <v>157</v>
      </c>
      <c r="G45" s="324">
        <v>57</v>
      </c>
      <c r="H45" s="218"/>
      <c r="I45" s="218"/>
      <c r="J45" s="218"/>
      <c r="K45" s="218"/>
      <c r="L45" s="218"/>
      <c r="M45" s="218"/>
      <c r="N45" s="218"/>
      <c r="P45">
        <f t="shared" si="2"/>
        <v>254</v>
      </c>
      <c r="Q45">
        <f t="shared" si="3"/>
        <v>271</v>
      </c>
      <c r="R45">
        <f t="shared" si="4"/>
        <v>525</v>
      </c>
    </row>
    <row r="46" spans="2:18">
      <c r="B46" s="3" t="s">
        <v>204</v>
      </c>
      <c r="C46" s="324">
        <v>16</v>
      </c>
      <c r="D46" s="324">
        <v>8</v>
      </c>
      <c r="E46" s="324">
        <v>5</v>
      </c>
      <c r="F46" s="324">
        <v>116</v>
      </c>
      <c r="G46" s="324">
        <v>36</v>
      </c>
      <c r="H46" s="218"/>
      <c r="I46" s="218"/>
      <c r="J46" s="218"/>
      <c r="K46" s="218"/>
      <c r="L46" s="218"/>
      <c r="M46" s="218"/>
      <c r="N46" s="218"/>
      <c r="P46">
        <f t="shared" si="2"/>
        <v>181</v>
      </c>
      <c r="Q46">
        <f t="shared" si="3"/>
        <v>186</v>
      </c>
      <c r="R46">
        <f t="shared" si="4"/>
        <v>367</v>
      </c>
    </row>
  </sheetData>
  <sheetProtection selectLockedCells="1"/>
  <mergeCells count="5">
    <mergeCell ref="B28:P28"/>
    <mergeCell ref="Q21:R21"/>
    <mergeCell ref="B5:P5"/>
    <mergeCell ref="B1:P1"/>
    <mergeCell ref="B2:P2"/>
  </mergeCells>
  <pageMargins left="0.5" right="0.25" top="0.25" bottom="0.25" header="0.3" footer="0.3"/>
  <pageSetup scale="75" orientation="landscape" horizontalDpi="300" verticalDpi="300" r:id="rId1"/>
  <headerFoot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zoomScaleNormal="85" workbookViewId="0">
      <selection activeCell="M11" sqref="M11"/>
    </sheetView>
  </sheetViews>
  <sheetFormatPr defaultRowHeight="15"/>
  <cols>
    <col min="1" max="1" width="4.28515625" customWidth="1"/>
    <col min="2" max="2" width="36.7109375" customWidth="1"/>
    <col min="3" max="3" width="15.42578125" customWidth="1"/>
    <col min="4" max="4" width="14.42578125" customWidth="1"/>
    <col min="5" max="6" width="15.42578125" customWidth="1"/>
    <col min="7" max="7" width="17.5703125" customWidth="1"/>
  </cols>
  <sheetData>
    <row r="1" spans="1:7" ht="15.75">
      <c r="A1" s="69" t="s">
        <v>141</v>
      </c>
    </row>
    <row r="2" spans="1:7" ht="15.75">
      <c r="A2" s="69" t="s">
        <v>142</v>
      </c>
    </row>
    <row r="4" spans="1:7" ht="15.75" thickBot="1"/>
    <row r="5" spans="1:7" ht="15.75">
      <c r="A5" s="364" t="s">
        <v>45</v>
      </c>
      <c r="B5" s="365"/>
      <c r="C5" s="365"/>
      <c r="D5" s="365"/>
      <c r="E5" s="365"/>
      <c r="F5" s="365"/>
      <c r="G5" s="366"/>
    </row>
    <row r="6" spans="1:7" ht="18.75">
      <c r="A6" s="367" t="s">
        <v>34</v>
      </c>
      <c r="B6" s="368"/>
      <c r="C6" s="368"/>
      <c r="D6" s="368"/>
      <c r="E6" s="368"/>
      <c r="F6" s="368"/>
      <c r="G6" s="369"/>
    </row>
    <row r="7" spans="1:7" ht="18.75">
      <c r="A7" s="367" t="s">
        <v>35</v>
      </c>
      <c r="B7" s="368"/>
      <c r="C7" s="368"/>
      <c r="D7" s="368"/>
      <c r="E7" s="368"/>
      <c r="F7" s="368"/>
      <c r="G7" s="369"/>
    </row>
    <row r="8" spans="1:7" ht="18.75">
      <c r="A8" s="145"/>
      <c r="B8" s="146"/>
      <c r="C8" s="146"/>
      <c r="D8" s="146"/>
      <c r="E8" s="89"/>
      <c r="F8" s="89"/>
      <c r="G8" s="101"/>
    </row>
    <row r="9" spans="1:7">
      <c r="A9" s="147"/>
      <c r="B9" s="21"/>
      <c r="C9" s="90" t="s">
        <v>1</v>
      </c>
      <c r="D9" s="90" t="s">
        <v>6</v>
      </c>
      <c r="E9" s="90" t="s">
        <v>36</v>
      </c>
      <c r="F9" s="335" t="s">
        <v>269</v>
      </c>
      <c r="G9" s="148" t="s">
        <v>70</v>
      </c>
    </row>
    <row r="10" spans="1:7">
      <c r="A10" s="147"/>
      <c r="B10" s="21" t="s">
        <v>37</v>
      </c>
      <c r="C10" s="220">
        <f>SUM(Questionnaire!E13)</f>
        <v>2533</v>
      </c>
      <c r="D10" s="219"/>
      <c r="E10" s="220">
        <f>SUM(Questionnaire!E15)</f>
        <v>1961</v>
      </c>
      <c r="F10" s="336">
        <v>200</v>
      </c>
      <c r="G10" s="222">
        <f>SUM(Questionnaire!E17)</f>
        <v>1268</v>
      </c>
    </row>
    <row r="11" spans="1:7">
      <c r="A11" s="147"/>
      <c r="B11" s="21" t="s">
        <v>38</v>
      </c>
      <c r="C11" s="220">
        <f>SUM(Questionnaire!G13)</f>
        <v>470</v>
      </c>
      <c r="D11" s="219"/>
      <c r="E11" s="220">
        <f>SUM(Questionnaire!G15)</f>
        <v>352</v>
      </c>
      <c r="F11" s="336">
        <v>0</v>
      </c>
      <c r="G11" s="222">
        <f>SUM(Questionnaire!G17)</f>
        <v>258</v>
      </c>
    </row>
    <row r="12" spans="1:7">
      <c r="A12" s="147"/>
      <c r="B12" s="21" t="s">
        <v>39</v>
      </c>
      <c r="C12" s="220">
        <f>SUM(Questionnaire!I13)</f>
        <v>26</v>
      </c>
      <c r="D12" s="219"/>
      <c r="E12" s="220">
        <f>SUM(Questionnaire!I15)</f>
        <v>20</v>
      </c>
      <c r="F12" s="336">
        <v>0</v>
      </c>
      <c r="G12" s="222">
        <f>SUM(Questionnaire!I17)</f>
        <v>16</v>
      </c>
    </row>
    <row r="13" spans="1:7">
      <c r="A13" s="147"/>
      <c r="B13" s="21" t="s">
        <v>50</v>
      </c>
      <c r="C13" s="303">
        <f>SUM(C10)-C11-C12</f>
        <v>2037</v>
      </c>
      <c r="D13" s="91">
        <v>1</v>
      </c>
      <c r="E13" s="303">
        <f>SUM(E10)-E11-E12</f>
        <v>1589</v>
      </c>
      <c r="F13" s="337">
        <f>SUM(F10)-F11-F12</f>
        <v>200</v>
      </c>
      <c r="G13" s="227">
        <f>SUM(G10)-G11-G12</f>
        <v>994</v>
      </c>
    </row>
    <row r="14" spans="1:7">
      <c r="A14" s="147"/>
      <c r="B14" s="370" t="s">
        <v>46</v>
      </c>
      <c r="C14" s="371"/>
      <c r="D14" s="371"/>
      <c r="E14" s="371"/>
      <c r="F14" s="371"/>
      <c r="G14" s="372"/>
    </row>
    <row r="15" spans="1:7" ht="17.25">
      <c r="A15" s="147"/>
      <c r="B15" s="21" t="s">
        <v>266</v>
      </c>
      <c r="C15" s="220">
        <f>SUM($C$13)*D15</f>
        <v>407.49938908479669</v>
      </c>
      <c r="D15" s="221">
        <f>SUM('WS 2 - Estimating Poverty Level'!B50)</f>
        <v>0.20004879189238914</v>
      </c>
      <c r="E15" s="220">
        <f>SUM($E$13)*D15</f>
        <v>317.87753031700635</v>
      </c>
      <c r="F15" s="338">
        <f>SUM($F$13)*D15</f>
        <v>40.009758378477827</v>
      </c>
      <c r="G15" s="222">
        <f>SUM($G$13)*D15</f>
        <v>198.84849914103481</v>
      </c>
    </row>
    <row r="16" spans="1:7" ht="17.25">
      <c r="A16" s="147"/>
      <c r="B16" s="21" t="s">
        <v>265</v>
      </c>
      <c r="C16" s="220">
        <f>SUM($C$13)*D16</f>
        <v>162.94927827248989</v>
      </c>
      <c r="D16" s="221">
        <f>SUM('WS 2 - Estimating Poverty Level'!C50)</f>
        <v>7.9994736510795236E-2</v>
      </c>
      <c r="E16" s="220">
        <f>SUM($E$13)*D16</f>
        <v>127.11163631565363</v>
      </c>
      <c r="F16" s="338">
        <f t="shared" ref="F16:F22" si="0">SUM($F$13)*D16</f>
        <v>15.998947302159047</v>
      </c>
      <c r="G16" s="222">
        <f>SUM($G$13)*D16</f>
        <v>79.51476809173046</v>
      </c>
    </row>
    <row r="17" spans="1:7" ht="17.25">
      <c r="A17" s="147"/>
      <c r="B17" s="21" t="s">
        <v>47</v>
      </c>
      <c r="C17" s="220">
        <f t="shared" ref="C17:C22" si="1">SUM($C$13)*D17</f>
        <v>80.100167631888581</v>
      </c>
      <c r="D17" s="221">
        <f>SUM('WS 2 - Estimating Poverty Level'!D51)</f>
        <v>3.9322615430480407E-2</v>
      </c>
      <c r="E17" s="220">
        <f t="shared" ref="E17:E22" si="2">SUM($E$13)*D17</f>
        <v>62.483635919033368</v>
      </c>
      <c r="F17" s="338">
        <f t="shared" si="0"/>
        <v>7.8645230860960815</v>
      </c>
      <c r="G17" s="222">
        <f t="shared" ref="G17:G22" si="3">SUM($G$13)*D17</f>
        <v>39.086679737897526</v>
      </c>
    </row>
    <row r="18" spans="1:7">
      <c r="A18" s="147"/>
      <c r="B18" s="21" t="s">
        <v>40</v>
      </c>
      <c r="C18" s="220">
        <f t="shared" si="1"/>
        <v>197.11109157755371</v>
      </c>
      <c r="D18" s="221">
        <f>SUM('WS 2 - Estimating Poverty Level'!E51:F51)</f>
        <v>9.6765386145092641E-2</v>
      </c>
      <c r="E18" s="220">
        <f t="shared" si="2"/>
        <v>153.7601985845522</v>
      </c>
      <c r="F18" s="338">
        <f t="shared" si="0"/>
        <v>19.353077229018528</v>
      </c>
      <c r="G18" s="222">
        <f t="shared" si="3"/>
        <v>96.184793828222084</v>
      </c>
    </row>
    <row r="19" spans="1:7">
      <c r="A19" s="147"/>
      <c r="B19" s="21" t="s">
        <v>41</v>
      </c>
      <c r="C19" s="220">
        <f t="shared" si="1"/>
        <v>163.51094748251623</v>
      </c>
      <c r="D19" s="221">
        <f>SUM('WS 2 - Estimating Poverty Level'!G51:H51)</f>
        <v>8.0270470045417888E-2</v>
      </c>
      <c r="E19" s="220">
        <f t="shared" si="2"/>
        <v>127.54977690216903</v>
      </c>
      <c r="F19" s="338">
        <f t="shared" si="0"/>
        <v>16.054094009083578</v>
      </c>
      <c r="G19" s="222">
        <f t="shared" si="3"/>
        <v>79.788847225145375</v>
      </c>
    </row>
    <row r="20" spans="1:7">
      <c r="A20" s="147"/>
      <c r="B20" s="21" t="s">
        <v>42</v>
      </c>
      <c r="C20" s="220">
        <f t="shared" si="1"/>
        <v>171.39777343944914</v>
      </c>
      <c r="D20" s="221">
        <f>SUM('WS 2 - Estimating Poverty Level'!I51:J51)</f>
        <v>8.4142255002184169E-2</v>
      </c>
      <c r="E20" s="220">
        <f t="shared" si="2"/>
        <v>133.70204319847065</v>
      </c>
      <c r="F20" s="338">
        <f t="shared" si="0"/>
        <v>16.828451000436832</v>
      </c>
      <c r="G20" s="222"/>
    </row>
    <row r="21" spans="1:7">
      <c r="A21" s="147"/>
      <c r="B21" s="21" t="s">
        <v>43</v>
      </c>
      <c r="C21" s="220">
        <f t="shared" si="1"/>
        <v>283.0843155870021</v>
      </c>
      <c r="D21" s="221">
        <f>SUM('WS 2 - Estimating Poverty Level'!K52:N52)</f>
        <v>0.13897119076436037</v>
      </c>
      <c r="E21" s="220">
        <f t="shared" si="2"/>
        <v>220.82522212456863</v>
      </c>
      <c r="F21" s="338">
        <f t="shared" si="0"/>
        <v>27.794238152872076</v>
      </c>
      <c r="G21" s="222">
        <f t="shared" si="3"/>
        <v>138.13736361977422</v>
      </c>
    </row>
    <row r="22" spans="1:7" ht="15.75" thickBot="1">
      <c r="A22" s="147"/>
      <c r="B22" s="21" t="s">
        <v>44</v>
      </c>
      <c r="C22" s="223">
        <f t="shared" si="1"/>
        <v>571.34703692430367</v>
      </c>
      <c r="D22" s="224">
        <f>SUM('WS 2 - Estimating Poverty Level'!O50)</f>
        <v>0.28048455420928015</v>
      </c>
      <c r="E22" s="223">
        <f t="shared" si="2"/>
        <v>445.68995663854616</v>
      </c>
      <c r="F22" s="338">
        <f t="shared" si="0"/>
        <v>56.09691084185603</v>
      </c>
      <c r="G22" s="225">
        <f t="shared" si="3"/>
        <v>278.80164688402448</v>
      </c>
    </row>
    <row r="23" spans="1:7" ht="17.25" customHeight="1" thickTop="1">
      <c r="A23" s="149"/>
      <c r="B23" s="133" t="s">
        <v>50</v>
      </c>
      <c r="C23" s="220">
        <f>SUM(C16:C22)</f>
        <v>1629.5006109152032</v>
      </c>
      <c r="D23" s="226">
        <f>SUM(D16:D22)</f>
        <v>0.79995120810761078</v>
      </c>
      <c r="E23" s="220">
        <f>SUM(E16:E22)</f>
        <v>1271.1224696829936</v>
      </c>
      <c r="F23" s="338">
        <f>SUM(F16:F22)</f>
        <v>159.99024162152216</v>
      </c>
      <c r="G23" s="227">
        <f>SUM(G16:G22)</f>
        <v>711.51409938679421</v>
      </c>
    </row>
    <row r="24" spans="1:7" ht="17.25">
      <c r="A24" s="113"/>
      <c r="B24" s="139" t="s">
        <v>51</v>
      </c>
      <c r="C24" s="93"/>
      <c r="D24" s="93"/>
      <c r="E24" s="93"/>
      <c r="F24" s="93"/>
      <c r="G24" s="101"/>
    </row>
    <row r="25" spans="1:7" ht="15.75" thickBot="1">
      <c r="A25" s="61"/>
      <c r="B25" s="62"/>
      <c r="C25" s="62"/>
      <c r="D25" s="62"/>
      <c r="E25" s="62"/>
      <c r="F25" s="62"/>
      <c r="G25" s="63"/>
    </row>
  </sheetData>
  <sheetProtection selectLockedCells="1"/>
  <mergeCells count="4">
    <mergeCell ref="A5:G5"/>
    <mergeCell ref="A6:G6"/>
    <mergeCell ref="A7:G7"/>
    <mergeCell ref="B14:G14"/>
  </mergeCells>
  <printOptions horizontalCentered="1"/>
  <pageMargins left="1" right="1" top="1" bottom="1" header="0.3" footer="0.3"/>
  <pageSetup scale="96" orientation="landscape" horizontalDpi="300" verticalDpi="300" r:id="rId1"/>
  <headerFoot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2"/>
  <sheetViews>
    <sheetView zoomScale="95" zoomScaleNormal="95" workbookViewId="0">
      <selection activeCell="H1" sqref="H1"/>
    </sheetView>
  </sheetViews>
  <sheetFormatPr defaultRowHeight="15"/>
  <cols>
    <col min="2" max="2" width="10.7109375" customWidth="1"/>
    <col min="3" max="7" width="9.28515625" bestFit="1" customWidth="1"/>
    <col min="8" max="8" width="11" customWidth="1"/>
    <col min="9" max="14" width="9.28515625" bestFit="1" customWidth="1"/>
    <col min="15" max="15" width="10" bestFit="1" customWidth="1"/>
  </cols>
  <sheetData>
    <row r="2" spans="1:24" ht="15.75">
      <c r="A2" s="69" t="s">
        <v>32</v>
      </c>
    </row>
    <row r="5" spans="1:24">
      <c r="A5" s="3" t="s">
        <v>8</v>
      </c>
      <c r="B5" s="3"/>
      <c r="C5" s="3"/>
      <c r="D5" s="3"/>
    </row>
    <row r="6" spans="1:24">
      <c r="A6" s="3" t="s">
        <v>9</v>
      </c>
      <c r="B6" s="3"/>
      <c r="C6" s="3"/>
      <c r="D6" s="3"/>
    </row>
    <row r="7" spans="1:24">
      <c r="A7" s="3" t="s">
        <v>10</v>
      </c>
      <c r="B7" s="3"/>
      <c r="C7" s="3"/>
      <c r="D7" s="3"/>
    </row>
    <row r="8" spans="1:24" ht="15.75" thickBot="1">
      <c r="A8" s="3"/>
      <c r="B8" s="3"/>
      <c r="C8" s="3"/>
      <c r="D8" s="3"/>
    </row>
    <row r="9" spans="1:24">
      <c r="A9" s="35" t="s">
        <v>29</v>
      </c>
      <c r="B9" s="36"/>
      <c r="C9" s="36"/>
      <c r="D9" s="36"/>
      <c r="E9" s="37"/>
      <c r="F9" s="37"/>
      <c r="G9" s="37"/>
      <c r="H9" s="37"/>
      <c r="I9" s="37"/>
      <c r="J9" s="37"/>
      <c r="K9" s="37"/>
      <c r="L9" s="37"/>
      <c r="M9" s="37"/>
      <c r="N9" s="38"/>
    </row>
    <row r="10" spans="1:24" ht="30">
      <c r="A10" s="39" t="s">
        <v>0</v>
      </c>
      <c r="B10" s="40">
        <v>1</v>
      </c>
      <c r="C10" s="40" t="s">
        <v>52</v>
      </c>
      <c r="D10" s="40">
        <v>1.5</v>
      </c>
      <c r="E10" s="40">
        <v>1.75</v>
      </c>
      <c r="F10" s="40">
        <v>2</v>
      </c>
      <c r="G10" s="40">
        <v>2.25</v>
      </c>
      <c r="H10" s="40">
        <v>2.5</v>
      </c>
      <c r="I10" s="40">
        <v>2.75</v>
      </c>
      <c r="J10" s="40">
        <v>3</v>
      </c>
      <c r="K10" s="40">
        <v>3.25</v>
      </c>
      <c r="L10" s="40">
        <v>3.5</v>
      </c>
      <c r="M10" s="40">
        <v>3.75</v>
      </c>
      <c r="N10" s="41">
        <v>4</v>
      </c>
    </row>
    <row r="11" spans="1:24">
      <c r="A11" s="42">
        <v>1</v>
      </c>
      <c r="B11" s="33">
        <v>10830</v>
      </c>
      <c r="C11" s="43">
        <f>SUM($B$11)*1.38</f>
        <v>14945.4</v>
      </c>
      <c r="D11" s="44">
        <f>SUM($B$11)*D10</f>
        <v>16245</v>
      </c>
      <c r="E11" s="44">
        <f t="shared" ref="E11:N11" si="0">SUM($B$11)*E10</f>
        <v>18952.5</v>
      </c>
      <c r="F11" s="45">
        <f t="shared" si="0"/>
        <v>21660</v>
      </c>
      <c r="G11" s="45">
        <f t="shared" si="0"/>
        <v>24367.5</v>
      </c>
      <c r="H11" s="46">
        <f t="shared" si="0"/>
        <v>27075</v>
      </c>
      <c r="I11" s="46">
        <f t="shared" si="0"/>
        <v>29782.5</v>
      </c>
      <c r="J11" s="47">
        <f t="shared" si="0"/>
        <v>32490</v>
      </c>
      <c r="K11" s="47">
        <f t="shared" si="0"/>
        <v>35197.5</v>
      </c>
      <c r="L11" s="48">
        <f t="shared" si="0"/>
        <v>37905</v>
      </c>
      <c r="M11" s="48">
        <f t="shared" si="0"/>
        <v>40612.5</v>
      </c>
      <c r="N11" s="49">
        <f t="shared" si="0"/>
        <v>43320</v>
      </c>
    </row>
    <row r="12" spans="1:24">
      <c r="A12" s="42">
        <v>2</v>
      </c>
      <c r="B12" s="43">
        <v>14570</v>
      </c>
      <c r="C12" s="45">
        <f>SUM($B$12)*1.38</f>
        <v>20106.599999999999</v>
      </c>
      <c r="D12" s="45">
        <f>SUM($B$12)*D10</f>
        <v>21855</v>
      </c>
      <c r="E12" s="46">
        <f t="shared" ref="E12:N12" si="1">SUM($B$12)*E10</f>
        <v>25497.5</v>
      </c>
      <c r="F12" s="46">
        <f t="shared" si="1"/>
        <v>29140</v>
      </c>
      <c r="G12" s="47">
        <f t="shared" si="1"/>
        <v>32782.5</v>
      </c>
      <c r="H12" s="48">
        <f t="shared" si="1"/>
        <v>36425</v>
      </c>
      <c r="I12" s="48">
        <f t="shared" si="1"/>
        <v>40067.5</v>
      </c>
      <c r="J12" s="50">
        <f t="shared" si="1"/>
        <v>43710</v>
      </c>
      <c r="K12" s="51">
        <f t="shared" si="1"/>
        <v>47352.5</v>
      </c>
      <c r="L12" s="52">
        <f t="shared" si="1"/>
        <v>50995</v>
      </c>
      <c r="M12" s="52">
        <f t="shared" si="1"/>
        <v>54637.5</v>
      </c>
      <c r="N12" s="53">
        <f t="shared" si="1"/>
        <v>58280</v>
      </c>
      <c r="X12" s="16"/>
    </row>
    <row r="13" spans="1:24">
      <c r="A13" s="42">
        <v>3</v>
      </c>
      <c r="B13" s="44">
        <v>18310</v>
      </c>
      <c r="C13" s="46">
        <f>SUM($B$13)*1.38</f>
        <v>25267.8</v>
      </c>
      <c r="D13" s="46">
        <f>SUM($B$13)*D10</f>
        <v>27465</v>
      </c>
      <c r="E13" s="47">
        <f t="shared" ref="E13:N13" si="2">SUM($B$13)*E10</f>
        <v>32042.5</v>
      </c>
      <c r="F13" s="48">
        <f t="shared" si="2"/>
        <v>36620</v>
      </c>
      <c r="G13" s="50">
        <f t="shared" si="2"/>
        <v>41197.5</v>
      </c>
      <c r="H13" s="50">
        <f t="shared" si="2"/>
        <v>45775</v>
      </c>
      <c r="I13" s="52">
        <f t="shared" si="2"/>
        <v>50352.5</v>
      </c>
      <c r="J13" s="52">
        <f t="shared" si="2"/>
        <v>54930</v>
      </c>
      <c r="K13" s="52">
        <f t="shared" si="2"/>
        <v>59507.5</v>
      </c>
      <c r="L13" s="54">
        <f t="shared" si="2"/>
        <v>64085</v>
      </c>
      <c r="M13" s="54">
        <f t="shared" si="2"/>
        <v>68662.5</v>
      </c>
      <c r="N13" s="55">
        <f t="shared" si="2"/>
        <v>73240</v>
      </c>
      <c r="X13" s="16"/>
    </row>
    <row r="14" spans="1:24">
      <c r="A14" s="42">
        <v>4</v>
      </c>
      <c r="B14" s="45">
        <v>22050</v>
      </c>
      <c r="C14" s="46">
        <f>SUM($B$14)*1.38</f>
        <v>30428.999999999996</v>
      </c>
      <c r="D14" s="47">
        <f>SUM($B$14)*D10</f>
        <v>33075</v>
      </c>
      <c r="E14" s="48">
        <f t="shared" ref="E14:N14" si="3">SUM($B$14)*E10</f>
        <v>38587.5</v>
      </c>
      <c r="F14" s="50">
        <f t="shared" si="3"/>
        <v>44100</v>
      </c>
      <c r="G14" s="51">
        <f t="shared" si="3"/>
        <v>49612.5</v>
      </c>
      <c r="H14" s="52">
        <f t="shared" si="3"/>
        <v>55125</v>
      </c>
      <c r="I14" s="52">
        <f t="shared" si="3"/>
        <v>60637.5</v>
      </c>
      <c r="J14" s="54">
        <f t="shared" si="3"/>
        <v>66150</v>
      </c>
      <c r="K14" s="54">
        <f t="shared" si="3"/>
        <v>71662.5</v>
      </c>
      <c r="L14" s="56">
        <f t="shared" si="3"/>
        <v>77175</v>
      </c>
      <c r="M14" s="56">
        <f t="shared" si="3"/>
        <v>82687.5</v>
      </c>
      <c r="N14" s="57">
        <f t="shared" si="3"/>
        <v>88200</v>
      </c>
      <c r="X14" s="16"/>
    </row>
    <row r="15" spans="1:24">
      <c r="A15" s="42">
        <v>5</v>
      </c>
      <c r="B15" s="46">
        <f>SUM(B14)+3480</f>
        <v>25530</v>
      </c>
      <c r="C15" s="47">
        <f>SUM($B$15)*1.38</f>
        <v>35231.399999999994</v>
      </c>
      <c r="D15" s="48">
        <f>SUM($B$15)*D10</f>
        <v>38295</v>
      </c>
      <c r="E15" s="50">
        <f t="shared" ref="E15:N15" si="4">SUM($B$15)*E10</f>
        <v>44677.5</v>
      </c>
      <c r="F15" s="52">
        <f t="shared" si="4"/>
        <v>51060</v>
      </c>
      <c r="G15" s="52">
        <f t="shared" si="4"/>
        <v>57442.5</v>
      </c>
      <c r="H15" s="54">
        <f t="shared" si="4"/>
        <v>63825</v>
      </c>
      <c r="I15" s="54">
        <f t="shared" si="4"/>
        <v>70207.5</v>
      </c>
      <c r="J15" s="56">
        <f t="shared" si="4"/>
        <v>76590</v>
      </c>
      <c r="K15" s="56">
        <f t="shared" si="4"/>
        <v>82972.5</v>
      </c>
      <c r="L15" s="56">
        <f t="shared" si="4"/>
        <v>89355</v>
      </c>
      <c r="M15" s="56">
        <f t="shared" si="4"/>
        <v>95737.5</v>
      </c>
      <c r="N15" s="58">
        <f t="shared" si="4"/>
        <v>102120</v>
      </c>
      <c r="X15" s="16"/>
    </row>
    <row r="16" spans="1:24">
      <c r="A16" s="42">
        <v>6</v>
      </c>
      <c r="B16" s="46">
        <v>29530</v>
      </c>
      <c r="C16" s="48">
        <f>SUM($B$16)*1.38</f>
        <v>40751.399999999994</v>
      </c>
      <c r="D16" s="50">
        <f>SUM($B$16)*D10</f>
        <v>44295</v>
      </c>
      <c r="E16" s="52">
        <f t="shared" ref="E16:N16" si="5">SUM($B$16)*E10</f>
        <v>51677.5</v>
      </c>
      <c r="F16" s="52">
        <f t="shared" si="5"/>
        <v>59060</v>
      </c>
      <c r="G16" s="54">
        <f t="shared" si="5"/>
        <v>66442.5</v>
      </c>
      <c r="H16" s="54">
        <f t="shared" si="5"/>
        <v>73825</v>
      </c>
      <c r="I16" s="56">
        <f t="shared" si="5"/>
        <v>81207.5</v>
      </c>
      <c r="J16" s="56">
        <f t="shared" si="5"/>
        <v>88590</v>
      </c>
      <c r="K16" s="56">
        <f t="shared" si="5"/>
        <v>95972.5</v>
      </c>
      <c r="L16" s="59">
        <f t="shared" si="5"/>
        <v>103355</v>
      </c>
      <c r="M16" s="59">
        <f t="shared" si="5"/>
        <v>110737.5</v>
      </c>
      <c r="N16" s="58">
        <f t="shared" si="5"/>
        <v>118120</v>
      </c>
      <c r="X16" s="16"/>
    </row>
    <row r="17" spans="1:27">
      <c r="A17" s="42">
        <v>7</v>
      </c>
      <c r="B17" s="47">
        <v>33270</v>
      </c>
      <c r="C17" s="50">
        <f>SUM($B$17)*1.38</f>
        <v>45912.6</v>
      </c>
      <c r="D17" s="51">
        <f>SUM($B$17)*D10</f>
        <v>49905</v>
      </c>
      <c r="E17" s="52">
        <f t="shared" ref="E17:N17" si="6">SUM($B$17)*E10</f>
        <v>58222.5</v>
      </c>
      <c r="F17" s="54">
        <f t="shared" si="6"/>
        <v>66540</v>
      </c>
      <c r="G17" s="54">
        <f t="shared" si="6"/>
        <v>74857.5</v>
      </c>
      <c r="H17" s="56">
        <f t="shared" si="6"/>
        <v>83175</v>
      </c>
      <c r="I17" s="56">
        <f t="shared" si="6"/>
        <v>91492.5</v>
      </c>
      <c r="J17" s="56">
        <f t="shared" si="6"/>
        <v>99810</v>
      </c>
      <c r="K17" s="59">
        <f t="shared" si="6"/>
        <v>108127.5</v>
      </c>
      <c r="L17" s="59">
        <f t="shared" si="6"/>
        <v>116445</v>
      </c>
      <c r="M17" s="59">
        <f t="shared" si="6"/>
        <v>124762.5</v>
      </c>
      <c r="N17" s="60">
        <f t="shared" si="6"/>
        <v>133080</v>
      </c>
      <c r="X17" s="16"/>
    </row>
    <row r="18" spans="1:27" ht="18" thickBot="1">
      <c r="A18" s="61" t="s">
        <v>53</v>
      </c>
      <c r="B18" s="62"/>
      <c r="C18" s="62"/>
      <c r="D18" s="62"/>
      <c r="E18" s="62"/>
      <c r="F18" s="62"/>
      <c r="G18" s="62"/>
      <c r="H18" s="62"/>
      <c r="I18" s="62"/>
      <c r="J18" s="62"/>
      <c r="K18" s="62"/>
      <c r="L18" s="62"/>
      <c r="M18" s="62"/>
      <c r="N18" s="63"/>
      <c r="X18" s="16"/>
    </row>
    <row r="19" spans="1:27">
      <c r="A19" s="93"/>
      <c r="B19" s="93"/>
      <c r="C19" s="93"/>
      <c r="D19" s="93"/>
      <c r="E19" s="93"/>
      <c r="F19" s="93"/>
      <c r="G19" s="93"/>
      <c r="H19" s="93"/>
      <c r="I19" s="93"/>
      <c r="J19" s="93"/>
      <c r="K19" s="93"/>
      <c r="L19" s="93"/>
      <c r="M19" s="93"/>
      <c r="N19" s="93"/>
      <c r="X19" s="16"/>
    </row>
    <row r="20" spans="1:27">
      <c r="X20" s="16"/>
    </row>
    <row r="21" spans="1:27" ht="27" customHeight="1">
      <c r="A21" s="358" t="s">
        <v>31</v>
      </c>
      <c r="B21" s="358"/>
      <c r="C21" s="358"/>
      <c r="D21" s="358"/>
      <c r="E21" s="358"/>
      <c r="F21" s="11"/>
      <c r="H21" s="358" t="s">
        <v>137</v>
      </c>
      <c r="I21" s="358"/>
      <c r="J21" s="358"/>
      <c r="K21" s="358"/>
      <c r="L21" s="68"/>
      <c r="M21" s="68"/>
      <c r="N21" s="68"/>
    </row>
    <row r="22" spans="1:27" ht="15.75" thickBot="1">
      <c r="A22" s="11"/>
      <c r="B22" s="11"/>
      <c r="C22" s="11"/>
      <c r="D22" s="95" t="s">
        <v>54</v>
      </c>
      <c r="E22" s="11"/>
      <c r="F22" s="11"/>
      <c r="L22" s="375" t="s">
        <v>48</v>
      </c>
      <c r="M22" s="375"/>
      <c r="N22" s="375"/>
      <c r="O22" s="375"/>
      <c r="P22" s="375"/>
      <c r="Q22" s="375"/>
      <c r="R22" s="375"/>
      <c r="S22" s="375"/>
      <c r="T22" s="375"/>
      <c r="U22" s="375"/>
      <c r="V22" s="375"/>
      <c r="W22" s="375"/>
      <c r="X22" s="375"/>
      <c r="Y22" s="375"/>
      <c r="Z22" s="375"/>
    </row>
    <row r="23" spans="1:27">
      <c r="A23" s="19" t="s">
        <v>15</v>
      </c>
      <c r="B23" s="11"/>
      <c r="C23" s="66"/>
      <c r="D23" s="305">
        <f>SUM('Data for Poverty Levels'!P8)</f>
        <v>1550</v>
      </c>
      <c r="E23" s="229">
        <f>SUM(D23)/$D$37</f>
        <v>0.10572266557533593</v>
      </c>
      <c r="F23" s="21"/>
      <c r="H23" s="381" t="s">
        <v>2</v>
      </c>
      <c r="I23" s="383" t="s">
        <v>30</v>
      </c>
      <c r="J23" s="383"/>
      <c r="K23" s="3"/>
      <c r="L23" s="373" t="s">
        <v>33</v>
      </c>
      <c r="M23" s="374"/>
      <c r="N23" s="374"/>
      <c r="O23" s="374"/>
      <c r="P23" s="374"/>
      <c r="Q23" s="374"/>
      <c r="R23" s="374"/>
      <c r="S23" s="374"/>
      <c r="T23" s="374"/>
      <c r="U23" s="374"/>
      <c r="V23" s="374"/>
      <c r="W23" s="374"/>
      <c r="X23" s="374"/>
      <c r="Y23" s="374"/>
      <c r="Z23" s="38"/>
    </row>
    <row r="24" spans="1:27">
      <c r="A24" s="19" t="s">
        <v>16</v>
      </c>
      <c r="B24" s="11"/>
      <c r="C24" s="66"/>
      <c r="D24" s="305">
        <f>SUM('Data for Poverty Levels'!P9)</f>
        <v>847</v>
      </c>
      <c r="E24" s="229">
        <f t="shared" ref="E24:E36" si="7">SUM(D24)/$D$37</f>
        <v>5.7772321124070665E-2</v>
      </c>
      <c r="F24" s="22"/>
      <c r="H24" s="382"/>
      <c r="I24" s="3" t="s">
        <v>54</v>
      </c>
      <c r="K24" s="12" t="s">
        <v>6</v>
      </c>
      <c r="L24" s="74">
        <f>SUM(D23)</f>
        <v>1550</v>
      </c>
      <c r="M24" s="75">
        <f>SUM(D24)</f>
        <v>847</v>
      </c>
      <c r="N24" s="73">
        <f>SUM(D25)</f>
        <v>806</v>
      </c>
      <c r="O24" s="76">
        <f>SUM(D26)</f>
        <v>896</v>
      </c>
      <c r="P24" s="77">
        <f>SUM(D27)</f>
        <v>1093</v>
      </c>
      <c r="Q24" s="78">
        <f>SUM(D28)</f>
        <v>857</v>
      </c>
      <c r="R24" s="79">
        <f>SUM(D29)</f>
        <v>1194</v>
      </c>
      <c r="S24" s="80">
        <f>SUM(D30)</f>
        <v>698</v>
      </c>
      <c r="T24" s="81">
        <f>SUM(D31)</f>
        <v>614</v>
      </c>
      <c r="U24" s="82">
        <f>SUM(D32)</f>
        <v>1275</v>
      </c>
      <c r="V24" s="83">
        <f>SUM(D33)</f>
        <v>1573</v>
      </c>
      <c r="W24" s="84">
        <f>SUM(D34)</f>
        <v>1441</v>
      </c>
      <c r="X24" s="85">
        <f>SUM(D35)</f>
        <v>866</v>
      </c>
      <c r="Y24" s="86">
        <f>SUM(D36)</f>
        <v>951</v>
      </c>
      <c r="Z24" s="87" t="s">
        <v>1</v>
      </c>
    </row>
    <row r="25" spans="1:27">
      <c r="A25" s="19" t="s">
        <v>17</v>
      </c>
      <c r="B25" s="11"/>
      <c r="C25" s="66"/>
      <c r="D25" s="305">
        <f>SUM('Data for Poverty Levels'!P10)</f>
        <v>806</v>
      </c>
      <c r="E25" s="229">
        <f t="shared" si="7"/>
        <v>5.4975786099174681E-2</v>
      </c>
      <c r="F25" s="20"/>
      <c r="H25" s="29" t="s">
        <v>3</v>
      </c>
      <c r="I25" s="307">
        <f>SUM('Data for Poverty Levels'!R40)</f>
        <v>4196</v>
      </c>
      <c r="J25" s="70"/>
      <c r="K25" s="230">
        <f>SUM(I25)/$I$32</f>
        <v>0.24964302712993813</v>
      </c>
      <c r="L25" s="231">
        <f>SUM($L$24)*K25</f>
        <v>386.94669205140411</v>
      </c>
      <c r="M25" s="232">
        <f>SUM($M$24)*K25</f>
        <v>211.4476439790576</v>
      </c>
      <c r="N25" s="233">
        <f>SUM($N$24)*K25</f>
        <v>201.21227986673014</v>
      </c>
      <c r="O25" s="233">
        <f>SUM($O$24)*K25</f>
        <v>223.68015230842457</v>
      </c>
      <c r="P25" s="233">
        <f>SUM($P$24)*K25</f>
        <v>272.85982865302236</v>
      </c>
      <c r="Q25" s="233">
        <f>SUM($Q$24)*K25</f>
        <v>213.94407425035698</v>
      </c>
      <c r="R25" s="233">
        <f>SUM($R$24)*K25</f>
        <v>298.07377439314615</v>
      </c>
      <c r="S25" s="233">
        <f>SUM($S$24)*K25</f>
        <v>174.25083293669681</v>
      </c>
      <c r="T25" s="233">
        <f>SUM($T$24)*K25</f>
        <v>153.28081865778202</v>
      </c>
      <c r="U25" s="233">
        <f>SUM($U$24)*K25</f>
        <v>318.29485959067114</v>
      </c>
      <c r="V25" s="233">
        <f>SUM($V$24)*K25</f>
        <v>392.68848167539267</v>
      </c>
      <c r="W25" s="233">
        <f>SUM($W$24)*K25</f>
        <v>359.73560209424085</v>
      </c>
      <c r="X25" s="234">
        <f>SUM($X$24)*K25</f>
        <v>216.19086149452642</v>
      </c>
      <c r="Y25" s="233">
        <f>SUM($Y$24)*K25</f>
        <v>237.41051880057117</v>
      </c>
      <c r="Z25" s="235">
        <f t="shared" ref="Z25:Z32" si="8">SUM(L25:Y25)</f>
        <v>3660.0164207520224</v>
      </c>
      <c r="AA25" s="31"/>
    </row>
    <row r="26" spans="1:27">
      <c r="A26" s="19" t="s">
        <v>18</v>
      </c>
      <c r="B26" s="11"/>
      <c r="C26" s="66"/>
      <c r="D26" s="305">
        <f>SUM('Data for Poverty Levels'!P11)</f>
        <v>896</v>
      </c>
      <c r="E26" s="229">
        <f t="shared" si="7"/>
        <v>6.1114521519678056E-2</v>
      </c>
      <c r="F26" s="6"/>
      <c r="H26" s="29" t="s">
        <v>4</v>
      </c>
      <c r="I26" s="307">
        <f>SUM('Data for Poverty Levels'!R41)</f>
        <v>5240</v>
      </c>
      <c r="J26" s="70"/>
      <c r="K26" s="230">
        <f t="shared" ref="K26:K31" si="9">SUM(I26)/$I$32</f>
        <v>0.31175630652070441</v>
      </c>
      <c r="L26" s="231">
        <f t="shared" ref="L26:L31" si="10">SUM($L$24)*K26</f>
        <v>483.22227510709183</v>
      </c>
      <c r="M26" s="232">
        <f t="shared" ref="M26:M31" si="11">SUM($M$24)*K26</f>
        <v>264.05759162303661</v>
      </c>
      <c r="N26" s="233">
        <f t="shared" ref="N26:N31" si="12">SUM($N$24)*K26</f>
        <v>251.27558305568775</v>
      </c>
      <c r="O26" s="233">
        <f t="shared" ref="O26:O31" si="13">SUM($O$24)*K26</f>
        <v>279.33365064255116</v>
      </c>
      <c r="P26" s="233">
        <f t="shared" ref="P26:P31" si="14">SUM($P$24)*K26</f>
        <v>340.74964302712993</v>
      </c>
      <c r="Q26" s="233">
        <f t="shared" ref="Q26:Q31" si="15">SUM($Q$24)*K26</f>
        <v>267.17515468824365</v>
      </c>
      <c r="R26" s="233">
        <f t="shared" ref="R26:R31" si="16">SUM($R$24)*K26</f>
        <v>372.23702998572105</v>
      </c>
      <c r="S26" s="233">
        <f t="shared" ref="S26:S31" si="17">SUM($S$24)*K26</f>
        <v>217.60590195145167</v>
      </c>
      <c r="T26" s="233">
        <f t="shared" ref="T26:T31" si="18">SUM($T$24)*K26</f>
        <v>191.41837220371249</v>
      </c>
      <c r="U26" s="233">
        <f t="shared" ref="U26:U31" si="19">SUM($U$24)*K26</f>
        <v>397.48929081389809</v>
      </c>
      <c r="V26" s="233">
        <f t="shared" ref="V26:V31" si="20">SUM($V$24)*K26</f>
        <v>490.39267015706804</v>
      </c>
      <c r="W26" s="233">
        <f t="shared" ref="W26:W31" si="21">SUM($W$24)*K26</f>
        <v>449.24083769633506</v>
      </c>
      <c r="X26" s="234">
        <f t="shared" ref="X26:X31" si="22">SUM($X$24)*K26</f>
        <v>269.98096144693</v>
      </c>
      <c r="Y26" s="233">
        <f t="shared" ref="Y26:Y31" si="23">SUM($Y$24)*K26</f>
        <v>296.48024750118987</v>
      </c>
      <c r="Z26" s="235">
        <f t="shared" si="8"/>
        <v>4570.6592099000472</v>
      </c>
      <c r="AA26" s="31"/>
    </row>
    <row r="27" spans="1:27">
      <c r="A27" s="19" t="s">
        <v>19</v>
      </c>
      <c r="B27" s="11"/>
      <c r="C27" s="66"/>
      <c r="D27" s="305">
        <f>SUM('Data for Poverty Levels'!P12)</f>
        <v>1093</v>
      </c>
      <c r="E27" s="229">
        <f t="shared" si="7"/>
        <v>7.4551531273446561E-2</v>
      </c>
      <c r="F27" s="7"/>
      <c r="H27" s="29" t="s">
        <v>5</v>
      </c>
      <c r="I27" s="307">
        <f>SUM('Data for Poverty Levels'!R42)</f>
        <v>2938</v>
      </c>
      <c r="J27" s="70"/>
      <c r="K27" s="230">
        <f t="shared" si="9"/>
        <v>0.17479771537363159</v>
      </c>
      <c r="L27" s="231">
        <f t="shared" si="10"/>
        <v>270.93645882912898</v>
      </c>
      <c r="M27" s="232">
        <f t="shared" si="11"/>
        <v>148.05366492146595</v>
      </c>
      <c r="N27" s="233">
        <f t="shared" si="12"/>
        <v>140.88695859114705</v>
      </c>
      <c r="O27" s="233">
        <f t="shared" si="13"/>
        <v>156.61875297477391</v>
      </c>
      <c r="P27" s="233">
        <f t="shared" si="14"/>
        <v>191.05390290337934</v>
      </c>
      <c r="Q27" s="233">
        <f t="shared" si="15"/>
        <v>149.80164207520227</v>
      </c>
      <c r="R27" s="233">
        <f t="shared" si="16"/>
        <v>208.70847215611613</v>
      </c>
      <c r="S27" s="233">
        <f t="shared" si="17"/>
        <v>122.00880533079486</v>
      </c>
      <c r="T27" s="233">
        <f t="shared" si="18"/>
        <v>107.32579723940979</v>
      </c>
      <c r="U27" s="233">
        <f t="shared" si="19"/>
        <v>222.86708710138026</v>
      </c>
      <c r="V27" s="233">
        <f t="shared" si="20"/>
        <v>274.95680628272248</v>
      </c>
      <c r="W27" s="233">
        <f t="shared" si="21"/>
        <v>251.88350785340313</v>
      </c>
      <c r="X27" s="234">
        <f t="shared" si="22"/>
        <v>151.37482151356497</v>
      </c>
      <c r="Y27" s="233">
        <f t="shared" si="23"/>
        <v>166.23262732032364</v>
      </c>
      <c r="Z27" s="235">
        <f t="shared" si="8"/>
        <v>2562.7093050928129</v>
      </c>
    </row>
    <row r="28" spans="1:27">
      <c r="A28" s="19" t="s">
        <v>20</v>
      </c>
      <c r="B28" s="11"/>
      <c r="C28" s="66"/>
      <c r="D28" s="305">
        <f>SUM('Data for Poverty Levels'!P13)</f>
        <v>857</v>
      </c>
      <c r="E28" s="229">
        <f t="shared" si="7"/>
        <v>5.845440283745993E-2</v>
      </c>
      <c r="F28" s="23"/>
      <c r="H28" s="29" t="s">
        <v>12</v>
      </c>
      <c r="I28" s="307">
        <f>SUM('Data for Poverty Levels'!R43)</f>
        <v>2300</v>
      </c>
      <c r="J28" s="71"/>
      <c r="K28" s="230">
        <f t="shared" si="9"/>
        <v>0.13683960019038552</v>
      </c>
      <c r="L28" s="231">
        <f t="shared" si="10"/>
        <v>212.10138029509756</v>
      </c>
      <c r="M28" s="232">
        <f t="shared" si="11"/>
        <v>115.90314136125653</v>
      </c>
      <c r="N28" s="233">
        <f t="shared" si="12"/>
        <v>110.29271775345073</v>
      </c>
      <c r="O28" s="233">
        <f t="shared" si="13"/>
        <v>122.60828177058542</v>
      </c>
      <c r="P28" s="233">
        <f t="shared" si="14"/>
        <v>149.56568300809138</v>
      </c>
      <c r="Q28" s="233">
        <f t="shared" si="15"/>
        <v>117.27153736316039</v>
      </c>
      <c r="R28" s="233">
        <f t="shared" si="16"/>
        <v>163.38648262732031</v>
      </c>
      <c r="S28" s="233">
        <f t="shared" si="17"/>
        <v>95.514040932889088</v>
      </c>
      <c r="T28" s="233">
        <f t="shared" si="18"/>
        <v>84.019514516896706</v>
      </c>
      <c r="U28" s="233">
        <f t="shared" si="19"/>
        <v>174.47049024274153</v>
      </c>
      <c r="V28" s="233">
        <f t="shared" si="20"/>
        <v>215.24869109947642</v>
      </c>
      <c r="W28" s="233">
        <f t="shared" si="21"/>
        <v>197.18586387434553</v>
      </c>
      <c r="X28" s="234">
        <f t="shared" si="22"/>
        <v>118.50309376487385</v>
      </c>
      <c r="Y28" s="233">
        <f t="shared" si="23"/>
        <v>130.13445978105662</v>
      </c>
      <c r="Z28" s="235">
        <f t="shared" si="8"/>
        <v>2006.2053783912422</v>
      </c>
    </row>
    <row r="29" spans="1:27">
      <c r="A29" s="19" t="s">
        <v>21</v>
      </c>
      <c r="B29" s="11"/>
      <c r="C29" s="66"/>
      <c r="D29" s="305">
        <f>SUM('Data for Poverty Levels'!P14)</f>
        <v>1194</v>
      </c>
      <c r="E29" s="229">
        <f t="shared" si="7"/>
        <v>8.144055657867813E-2</v>
      </c>
      <c r="F29" s="9"/>
      <c r="H29" s="29" t="s">
        <v>11</v>
      </c>
      <c r="I29" s="307">
        <f>SUM('Data for Poverty Levels'!R44)</f>
        <v>1242</v>
      </c>
      <c r="J29" s="71"/>
      <c r="K29" s="230">
        <f t="shared" si="9"/>
        <v>7.3893384102808185E-2</v>
      </c>
      <c r="L29" s="231">
        <f t="shared" si="10"/>
        <v>114.53474535935268</v>
      </c>
      <c r="M29" s="232">
        <f t="shared" si="11"/>
        <v>62.587696335078533</v>
      </c>
      <c r="N29" s="233">
        <f t="shared" si="12"/>
        <v>59.558067586863395</v>
      </c>
      <c r="O29" s="233">
        <f t="shared" si="13"/>
        <v>66.20847215611613</v>
      </c>
      <c r="P29" s="233">
        <f t="shared" si="14"/>
        <v>80.76546882436935</v>
      </c>
      <c r="Q29" s="233">
        <f t="shared" si="15"/>
        <v>63.326630176106612</v>
      </c>
      <c r="R29" s="233">
        <f t="shared" si="16"/>
        <v>88.228700618752967</v>
      </c>
      <c r="S29" s="233">
        <f t="shared" si="17"/>
        <v>51.577582103760115</v>
      </c>
      <c r="T29" s="233">
        <f t="shared" si="18"/>
        <v>45.370537839124225</v>
      </c>
      <c r="U29" s="233">
        <f t="shared" si="19"/>
        <v>94.214064731080441</v>
      </c>
      <c r="V29" s="233">
        <f t="shared" si="20"/>
        <v>116.23429319371728</v>
      </c>
      <c r="W29" s="233">
        <f t="shared" si="21"/>
        <v>106.4803664921466</v>
      </c>
      <c r="X29" s="234">
        <f t="shared" si="22"/>
        <v>63.991670633031887</v>
      </c>
      <c r="Y29" s="233">
        <f t="shared" si="23"/>
        <v>70.272608281770587</v>
      </c>
      <c r="Z29" s="235">
        <f t="shared" si="8"/>
        <v>1083.3509043312708</v>
      </c>
    </row>
    <row r="30" spans="1:27">
      <c r="A30" s="19" t="s">
        <v>22</v>
      </c>
      <c r="B30" s="11"/>
      <c r="C30" s="66"/>
      <c r="D30" s="305">
        <f>SUM('Data for Poverty Levels'!P15)</f>
        <v>698</v>
      </c>
      <c r="E30" s="229">
        <f t="shared" si="7"/>
        <v>4.7609303594570627E-2</v>
      </c>
      <c r="F30" s="5"/>
      <c r="H30" s="29" t="s">
        <v>13</v>
      </c>
      <c r="I30" s="307">
        <f>SUM('Data for Poverty Levels'!R45)</f>
        <v>525</v>
      </c>
      <c r="J30" s="71"/>
      <c r="K30" s="230">
        <f t="shared" si="9"/>
        <v>3.1235126130414088E-2</v>
      </c>
      <c r="L30" s="231">
        <f t="shared" si="10"/>
        <v>48.414445502141838</v>
      </c>
      <c r="M30" s="232">
        <f t="shared" si="11"/>
        <v>26.456151832460733</v>
      </c>
      <c r="N30" s="233">
        <f t="shared" si="12"/>
        <v>25.175511661113756</v>
      </c>
      <c r="O30" s="233">
        <f t="shared" si="13"/>
        <v>27.986673012851021</v>
      </c>
      <c r="P30" s="233">
        <f t="shared" si="14"/>
        <v>34.139992860542598</v>
      </c>
      <c r="Q30" s="233">
        <f t="shared" si="15"/>
        <v>26.768503093764874</v>
      </c>
      <c r="R30" s="233">
        <f t="shared" si="16"/>
        <v>37.294740599714423</v>
      </c>
      <c r="S30" s="233">
        <f t="shared" si="17"/>
        <v>21.802118039029033</v>
      </c>
      <c r="T30" s="233">
        <f t="shared" si="18"/>
        <v>19.178367444074251</v>
      </c>
      <c r="U30" s="233">
        <f t="shared" si="19"/>
        <v>39.824785816277959</v>
      </c>
      <c r="V30" s="233">
        <f t="shared" si="20"/>
        <v>49.132853403141361</v>
      </c>
      <c r="W30" s="233">
        <f t="shared" si="21"/>
        <v>45.0098167539267</v>
      </c>
      <c r="X30" s="234">
        <f t="shared" si="22"/>
        <v>27.049619228938599</v>
      </c>
      <c r="Y30" s="233">
        <f t="shared" si="23"/>
        <v>29.704604950023796</v>
      </c>
      <c r="Z30" s="235">
        <f t="shared" si="8"/>
        <v>457.93818419800095</v>
      </c>
    </row>
    <row r="31" spans="1:27">
      <c r="A31" s="19" t="s">
        <v>23</v>
      </c>
      <c r="B31" s="11"/>
      <c r="C31" s="67"/>
      <c r="D31" s="305">
        <f>SUM('Data for Poverty Levels'!P16)</f>
        <v>614</v>
      </c>
      <c r="E31" s="229">
        <f t="shared" si="7"/>
        <v>4.1879817202100815E-2</v>
      </c>
      <c r="F31" s="10"/>
      <c r="H31" s="29" t="s">
        <v>14</v>
      </c>
      <c r="I31" s="308">
        <f>SUM('Data for Poverty Levels'!R46)</f>
        <v>367</v>
      </c>
      <c r="J31" s="72"/>
      <c r="K31" s="236">
        <f t="shared" si="9"/>
        <v>2.183484055211804E-2</v>
      </c>
      <c r="L31" s="237">
        <f t="shared" si="10"/>
        <v>33.844002855782961</v>
      </c>
      <c r="M31" s="238">
        <f t="shared" si="11"/>
        <v>18.494109947643981</v>
      </c>
      <c r="N31" s="239">
        <f t="shared" si="12"/>
        <v>17.598881485007141</v>
      </c>
      <c r="O31" s="239">
        <f t="shared" si="13"/>
        <v>19.564017134697764</v>
      </c>
      <c r="P31" s="239">
        <f t="shared" si="14"/>
        <v>23.865480723465019</v>
      </c>
      <c r="Q31" s="239">
        <f t="shared" si="15"/>
        <v>18.712458353165161</v>
      </c>
      <c r="R31" s="239">
        <f t="shared" si="16"/>
        <v>26.070799619228939</v>
      </c>
      <c r="S31" s="239">
        <f t="shared" si="17"/>
        <v>15.240718705378391</v>
      </c>
      <c r="T31" s="239">
        <f t="shared" si="18"/>
        <v>13.406592099000477</v>
      </c>
      <c r="U31" s="239">
        <f t="shared" si="19"/>
        <v>27.839421703950499</v>
      </c>
      <c r="V31" s="239">
        <f t="shared" si="20"/>
        <v>34.346204188481678</v>
      </c>
      <c r="W31" s="239">
        <f t="shared" si="21"/>
        <v>31.464005235602095</v>
      </c>
      <c r="X31" s="240">
        <f t="shared" si="22"/>
        <v>18.908971918134224</v>
      </c>
      <c r="Y31" s="239">
        <f t="shared" si="23"/>
        <v>20.764933365064255</v>
      </c>
      <c r="Z31" s="241">
        <f t="shared" si="8"/>
        <v>320.12059733460262</v>
      </c>
    </row>
    <row r="32" spans="1:27" ht="15.75" thickBot="1">
      <c r="A32" s="19" t="s">
        <v>24</v>
      </c>
      <c r="B32" s="11"/>
      <c r="C32" s="66"/>
      <c r="D32" s="305">
        <f>SUM('Data for Poverty Levels'!P17)</f>
        <v>1275</v>
      </c>
      <c r="E32" s="229">
        <f t="shared" si="7"/>
        <v>8.6965418457131169E-2</v>
      </c>
      <c r="F32" s="8"/>
      <c r="H32" s="29" t="s">
        <v>1</v>
      </c>
      <c r="I32" s="17">
        <f>SUM(I25:I31)</f>
        <v>16808</v>
      </c>
      <c r="J32" s="11"/>
      <c r="K32" s="242">
        <f>SUM(K25:K31)</f>
        <v>1</v>
      </c>
      <c r="L32" s="243">
        <f>SUM(L25:L31)</f>
        <v>1550</v>
      </c>
      <c r="M32" s="244">
        <f t="shared" ref="M32:Y32" si="24">SUM(M25:M31)</f>
        <v>847</v>
      </c>
      <c r="N32" s="244">
        <f t="shared" si="24"/>
        <v>806</v>
      </c>
      <c r="O32" s="244">
        <f t="shared" si="24"/>
        <v>896.00000000000011</v>
      </c>
      <c r="P32" s="244">
        <f t="shared" si="24"/>
        <v>1093</v>
      </c>
      <c r="Q32" s="244">
        <f t="shared" si="24"/>
        <v>856.99999999999989</v>
      </c>
      <c r="R32" s="244">
        <f t="shared" si="24"/>
        <v>1194</v>
      </c>
      <c r="S32" s="244">
        <f t="shared" si="24"/>
        <v>698</v>
      </c>
      <c r="T32" s="244">
        <f t="shared" si="24"/>
        <v>614</v>
      </c>
      <c r="U32" s="244">
        <f t="shared" si="24"/>
        <v>1274.9999999999998</v>
      </c>
      <c r="V32" s="244">
        <f t="shared" si="24"/>
        <v>1573</v>
      </c>
      <c r="W32" s="244">
        <f t="shared" si="24"/>
        <v>1441.0000000000002</v>
      </c>
      <c r="X32" s="244">
        <f t="shared" si="24"/>
        <v>865.99999999999977</v>
      </c>
      <c r="Y32" s="244">
        <f t="shared" si="24"/>
        <v>951</v>
      </c>
      <c r="Z32" s="245">
        <f t="shared" si="8"/>
        <v>14661</v>
      </c>
    </row>
    <row r="33" spans="1:26">
      <c r="A33" s="19" t="s">
        <v>25</v>
      </c>
      <c r="B33" s="29"/>
      <c r="C33" s="66"/>
      <c r="D33" s="305">
        <f>SUM('Data for Poverty Levels'!P18)</f>
        <v>1573</v>
      </c>
      <c r="E33" s="229">
        <f t="shared" si="7"/>
        <v>0.10729145351613123</v>
      </c>
      <c r="F33" s="24"/>
      <c r="H33" s="29"/>
      <c r="I33" s="17"/>
      <c r="J33" s="11"/>
      <c r="K33" s="18"/>
      <c r="L33" s="11"/>
      <c r="M33" s="11"/>
      <c r="P33" s="31"/>
      <c r="R33" s="31"/>
      <c r="Y33" s="31"/>
      <c r="Z33" s="13"/>
    </row>
    <row r="34" spans="1:26">
      <c r="A34" s="19" t="s">
        <v>26</v>
      </c>
      <c r="B34" s="29"/>
      <c r="C34" s="66"/>
      <c r="D34" s="305">
        <f>SUM('Data for Poverty Levels'!P19)</f>
        <v>1441</v>
      </c>
      <c r="E34" s="229">
        <f t="shared" si="7"/>
        <v>9.8287974899392949E-2</v>
      </c>
      <c r="F34" s="30"/>
      <c r="H34" s="29"/>
      <c r="I34" s="17"/>
      <c r="J34" s="11"/>
      <c r="K34" s="18"/>
      <c r="L34" s="11"/>
      <c r="M34" s="64"/>
      <c r="N34" s="31"/>
      <c r="O34" s="31"/>
      <c r="P34" s="31"/>
      <c r="Q34" s="31"/>
      <c r="R34" s="31"/>
      <c r="S34" s="31"/>
      <c r="Y34" s="31"/>
    </row>
    <row r="35" spans="1:26">
      <c r="A35" s="19" t="s">
        <v>27</v>
      </c>
      <c r="B35" s="29"/>
      <c r="C35" s="66"/>
      <c r="D35" s="305">
        <f>SUM('Data for Poverty Levels'!P20)</f>
        <v>866</v>
      </c>
      <c r="E35" s="229">
        <f t="shared" si="7"/>
        <v>5.9068276379510266E-2</v>
      </c>
      <c r="F35" s="25"/>
      <c r="H35" s="29"/>
      <c r="I35" s="17"/>
      <c r="J35" s="11"/>
      <c r="K35" s="18"/>
      <c r="L35" s="11"/>
      <c r="M35" s="11"/>
      <c r="P35" s="31"/>
      <c r="Q35" s="31"/>
    </row>
    <row r="36" spans="1:26">
      <c r="A36" s="19" t="s">
        <v>28</v>
      </c>
      <c r="B36" s="29"/>
      <c r="C36" s="66"/>
      <c r="D36" s="306">
        <f>SUM('Data for Poverty Levels'!P21)</f>
        <v>951</v>
      </c>
      <c r="E36" s="229">
        <f t="shared" si="7"/>
        <v>6.4865970943319015E-2</v>
      </c>
      <c r="F36" s="26"/>
      <c r="H36" s="29"/>
      <c r="I36" s="17"/>
      <c r="J36" s="11"/>
      <c r="K36" s="18"/>
      <c r="L36" s="11"/>
      <c r="M36" s="11"/>
    </row>
    <row r="37" spans="1:26" ht="15.75" thickBot="1">
      <c r="A37" s="29"/>
      <c r="B37" s="29" t="s">
        <v>1</v>
      </c>
      <c r="C37" s="15"/>
      <c r="D37" s="304">
        <f>SUM(D23:D36)</f>
        <v>14661</v>
      </c>
      <c r="E37" s="229">
        <f>SUM(E23:E36)</f>
        <v>1</v>
      </c>
      <c r="H37" s="29"/>
      <c r="I37" s="17"/>
      <c r="J37" s="11"/>
      <c r="K37" s="18"/>
      <c r="L37" s="11"/>
      <c r="M37" s="11"/>
    </row>
    <row r="38" spans="1:26">
      <c r="A38" s="88"/>
      <c r="B38" s="88"/>
      <c r="C38" s="15"/>
      <c r="D38" s="92"/>
      <c r="E38" s="16"/>
      <c r="H38" s="88"/>
      <c r="I38" s="17"/>
      <c r="J38" s="11"/>
      <c r="K38" s="18"/>
      <c r="L38" s="11"/>
      <c r="M38" s="11"/>
    </row>
    <row r="39" spans="1:26">
      <c r="A39" s="88"/>
      <c r="B39" s="88"/>
      <c r="C39" s="15"/>
      <c r="D39" s="92"/>
      <c r="E39" s="16"/>
      <c r="H39" s="88"/>
      <c r="I39" s="17"/>
      <c r="J39" s="11"/>
      <c r="K39" s="18"/>
      <c r="L39" s="11"/>
      <c r="M39" s="11"/>
    </row>
    <row r="40" spans="1:26">
      <c r="A40" s="359" t="s">
        <v>49</v>
      </c>
      <c r="B40" s="359"/>
      <c r="C40" s="359"/>
      <c r="D40" s="359"/>
      <c r="E40" s="359"/>
      <c r="F40" s="359"/>
      <c r="G40" s="359"/>
      <c r="H40" s="359"/>
      <c r="I40" s="359"/>
      <c r="J40" s="359"/>
      <c r="K40" s="359"/>
      <c r="L40" s="359"/>
      <c r="M40" s="359"/>
      <c r="N40" s="359"/>
      <c r="O40" s="359"/>
      <c r="P40" s="359"/>
    </row>
    <row r="41" spans="1:26" ht="30">
      <c r="A41" s="2" t="s">
        <v>0</v>
      </c>
      <c r="B41" s="32">
        <v>1</v>
      </c>
      <c r="C41" s="1">
        <v>1.33</v>
      </c>
      <c r="D41" s="1">
        <v>1.5</v>
      </c>
      <c r="E41" s="1">
        <v>1.75</v>
      </c>
      <c r="F41" s="1">
        <v>2</v>
      </c>
      <c r="G41" s="1">
        <v>2.25</v>
      </c>
      <c r="H41" s="1">
        <v>2.5</v>
      </c>
      <c r="I41" s="1">
        <v>2.75</v>
      </c>
      <c r="J41" s="1">
        <v>3</v>
      </c>
      <c r="K41" s="1">
        <v>3.25</v>
      </c>
      <c r="L41" s="1">
        <v>3.5</v>
      </c>
      <c r="M41" s="1">
        <v>3.75</v>
      </c>
      <c r="N41" s="1">
        <v>4</v>
      </c>
      <c r="O41" s="1" t="s">
        <v>7</v>
      </c>
    </row>
    <row r="42" spans="1:26">
      <c r="A42" s="4">
        <v>1</v>
      </c>
      <c r="B42" s="246">
        <f>SUM(L25)</f>
        <v>386.94669205140411</v>
      </c>
      <c r="C42" s="247">
        <f>SUM(M25)</f>
        <v>211.4476439790576</v>
      </c>
      <c r="D42" s="247">
        <f>SUM(N25)/2</f>
        <v>100.60613993336507</v>
      </c>
      <c r="E42" s="247">
        <f>SUM(N25)/2</f>
        <v>100.60613993336507</v>
      </c>
      <c r="F42" s="247">
        <f>SUM(O25)/2</f>
        <v>111.84007615421228</v>
      </c>
      <c r="G42" s="247">
        <f>SUM(O25)/2</f>
        <v>111.84007615421228</v>
      </c>
      <c r="H42" s="247">
        <f>SUM(P25)/2</f>
        <v>136.42991432651118</v>
      </c>
      <c r="I42" s="247">
        <f>SUM(P25)/2</f>
        <v>136.42991432651118</v>
      </c>
      <c r="J42" s="247">
        <f>SUM(Q25)/2</f>
        <v>106.97203712517849</v>
      </c>
      <c r="K42" s="247">
        <f>SUM(Q25)/2</f>
        <v>106.97203712517849</v>
      </c>
      <c r="L42" s="247">
        <f>SUM(R25)/2</f>
        <v>149.03688719657308</v>
      </c>
      <c r="M42" s="247">
        <f>SUM(R25)/2</f>
        <v>149.03688719657308</v>
      </c>
      <c r="N42" s="247">
        <f>SUM(S25)</f>
        <v>174.25083293669681</v>
      </c>
      <c r="O42" s="247">
        <f>SUM(T25:Y25)</f>
        <v>1677.6011423131845</v>
      </c>
      <c r="P42" s="248">
        <f t="shared" ref="P42:P48" si="25">SUM(B42:O42)</f>
        <v>3660.0164207520234</v>
      </c>
      <c r="Q42" s="14"/>
      <c r="T42" s="93"/>
    </row>
    <row r="43" spans="1:26">
      <c r="A43" s="4">
        <v>2</v>
      </c>
      <c r="B43" s="246">
        <f>SUM(L26:M26)</f>
        <v>747.27986673012845</v>
      </c>
      <c r="C43" s="247">
        <f>SUM(N26)+(O26/2)</f>
        <v>390.94240837696333</v>
      </c>
      <c r="D43" s="247">
        <f>SUM(O26)/2</f>
        <v>139.66682532127558</v>
      </c>
      <c r="E43" s="247">
        <f>SUM(P26)/2</f>
        <v>170.37482151356497</v>
      </c>
      <c r="F43" s="247">
        <f>SUM(P26)/2</f>
        <v>170.37482151356497</v>
      </c>
      <c r="G43" s="247">
        <f>SUM(Q26)</f>
        <v>267.17515468824365</v>
      </c>
      <c r="H43" s="247">
        <f>SUM(R26)/2</f>
        <v>186.11851499286053</v>
      </c>
      <c r="I43" s="247">
        <f>SUM(R26)/2</f>
        <v>186.11851499286053</v>
      </c>
      <c r="J43" s="247">
        <f>SUM(S26)</f>
        <v>217.60590195145167</v>
      </c>
      <c r="K43" s="247">
        <f>SUM(T26)</f>
        <v>191.41837220371249</v>
      </c>
      <c r="L43" s="247">
        <f>SUM(U26)/3</f>
        <v>132.49643027129937</v>
      </c>
      <c r="M43" s="247">
        <f>SUM(U26)/3</f>
        <v>132.49643027129937</v>
      </c>
      <c r="N43" s="247">
        <f>SUM(U26)/3</f>
        <v>132.49643027129937</v>
      </c>
      <c r="O43" s="247">
        <f>SUM(V26:Y26)</f>
        <v>1506.0947168015227</v>
      </c>
      <c r="P43" s="249">
        <f t="shared" si="25"/>
        <v>4570.6592099000463</v>
      </c>
      <c r="Q43" s="15"/>
      <c r="R43" s="34"/>
    </row>
    <row r="44" spans="1:26">
      <c r="A44" s="4">
        <v>3</v>
      </c>
      <c r="B44" s="246">
        <f>SUM(L27:N27)</f>
        <v>559.87708234174193</v>
      </c>
      <c r="C44" s="247">
        <f>SUM(O27)+(P27/2)</f>
        <v>252.14570442646357</v>
      </c>
      <c r="D44" s="247">
        <f>SUM(P27)/2</f>
        <v>95.526951451689669</v>
      </c>
      <c r="E44" s="247">
        <f>SUM(Q27)</f>
        <v>149.80164207520227</v>
      </c>
      <c r="F44" s="247">
        <f>SUM(R27)</f>
        <v>208.70847215611613</v>
      </c>
      <c r="G44" s="247">
        <f>SUM(S27)/2</f>
        <v>61.004402665397429</v>
      </c>
      <c r="H44" s="247">
        <f>SUM(S27)/2</f>
        <v>61.004402665397429</v>
      </c>
      <c r="I44" s="247">
        <f>SUM(T27)+(U27/3)</f>
        <v>181.61482627320322</v>
      </c>
      <c r="J44" s="247">
        <f>SUM(U27)/3</f>
        <v>74.289029033793426</v>
      </c>
      <c r="K44" s="247">
        <f>SUM(U27)/3</f>
        <v>74.289029033793426</v>
      </c>
      <c r="L44" s="247">
        <f>SUM(V27)/3</f>
        <v>91.652268760907489</v>
      </c>
      <c r="M44" s="247">
        <f>SUM(V27)/3</f>
        <v>91.652268760907489</v>
      </c>
      <c r="N44" s="247">
        <f>SUM(V27)/3</f>
        <v>91.652268760907489</v>
      </c>
      <c r="O44" s="247">
        <f>SUM(W27:Y27)</f>
        <v>569.49095668729171</v>
      </c>
      <c r="P44" s="249">
        <f t="shared" si="25"/>
        <v>2562.7093050928129</v>
      </c>
      <c r="Q44" s="14"/>
    </row>
    <row r="45" spans="1:26">
      <c r="A45" s="4">
        <v>4</v>
      </c>
      <c r="B45" s="246">
        <f>SUM(L28:O28)</f>
        <v>560.90552118039022</v>
      </c>
      <c r="C45" s="247">
        <f>SUM(P28)</f>
        <v>149.56568300809138</v>
      </c>
      <c r="D45" s="247">
        <f>SUM(Q28)</f>
        <v>117.27153736316039</v>
      </c>
      <c r="E45" s="247">
        <f>SUM(R28)</f>
        <v>163.38648262732031</v>
      </c>
      <c r="F45" s="247">
        <f>SUM(S28)</f>
        <v>95.514040932889088</v>
      </c>
      <c r="G45" s="247">
        <f>SUM(T28)</f>
        <v>84.019514516896706</v>
      </c>
      <c r="H45" s="247">
        <f>SUM(U28)/2</f>
        <v>87.235245121370767</v>
      </c>
      <c r="I45" s="247">
        <f>SUM(U28)/2</f>
        <v>87.235245121370767</v>
      </c>
      <c r="J45" s="247">
        <f>SUM(V28)/2</f>
        <v>107.62434554973821</v>
      </c>
      <c r="K45" s="247">
        <f>SUM(V28)/2</f>
        <v>107.62434554973821</v>
      </c>
      <c r="L45" s="250">
        <f>SUM(W28)/3</f>
        <v>65.728621291448505</v>
      </c>
      <c r="M45" s="250">
        <f>SUM(W28)/3</f>
        <v>65.728621291448505</v>
      </c>
      <c r="N45" s="250">
        <f>SUM(W28)/3</f>
        <v>65.728621291448505</v>
      </c>
      <c r="O45" s="250">
        <f>SUM(X28:Y28)</f>
        <v>248.63755354593047</v>
      </c>
      <c r="P45" s="249">
        <f t="shared" si="25"/>
        <v>2006.2053783912415</v>
      </c>
      <c r="T45" s="93"/>
    </row>
    <row r="46" spans="1:26">
      <c r="A46" s="4">
        <v>5</v>
      </c>
      <c r="B46" s="246">
        <f>SUM(L29:P29)</f>
        <v>383.65445026178008</v>
      </c>
      <c r="C46" s="247">
        <f>SUM(Q29)</f>
        <v>63.326630176106612</v>
      </c>
      <c r="D46" s="247">
        <f>SUM(R29)</f>
        <v>88.228700618752967</v>
      </c>
      <c r="E46" s="247">
        <f>SUM(S29)</f>
        <v>51.577582103760115</v>
      </c>
      <c r="F46" s="247">
        <f>SUM(T29)+(U29/2)</f>
        <v>92.477570204664445</v>
      </c>
      <c r="G46" s="247">
        <f>SUM(U29)/2</f>
        <v>47.107032365540221</v>
      </c>
      <c r="H46" s="247">
        <f>SUM(V29)/2</f>
        <v>58.117146596858639</v>
      </c>
      <c r="I46" s="247">
        <f>SUM(V29)/2</f>
        <v>58.117146596858639</v>
      </c>
      <c r="J46" s="250">
        <f>SUM(W29)/4</f>
        <v>26.62009162303665</v>
      </c>
      <c r="K46" s="250">
        <f>SUM(W29)/4</f>
        <v>26.62009162303665</v>
      </c>
      <c r="L46" s="250">
        <f>SUM(W29)/4</f>
        <v>26.62009162303665</v>
      </c>
      <c r="M46" s="250">
        <f>SUM(W29)/4</f>
        <v>26.62009162303665</v>
      </c>
      <c r="N46" s="247">
        <f>SUM(X29)</f>
        <v>63.991670633031887</v>
      </c>
      <c r="O46" s="247">
        <f>SUM(Y29)</f>
        <v>70.272608281770587</v>
      </c>
      <c r="P46" s="249">
        <f t="shared" si="25"/>
        <v>1083.3509043312708</v>
      </c>
    </row>
    <row r="47" spans="1:26">
      <c r="A47" s="4">
        <v>6</v>
      </c>
      <c r="B47" s="246">
        <f>SUM(L30:P30)</f>
        <v>162.17277486910996</v>
      </c>
      <c r="C47" s="247">
        <f>SUM(Q30:R30)</f>
        <v>64.063243693479293</v>
      </c>
      <c r="D47" s="247">
        <f>SUM(S30)</f>
        <v>21.802118039029033</v>
      </c>
      <c r="E47" s="247">
        <f>SUM(T30)+(U30/2)</f>
        <v>39.090760352213231</v>
      </c>
      <c r="F47" s="247">
        <f>SUM(U30)/2</f>
        <v>19.91239290813898</v>
      </c>
      <c r="G47" s="247">
        <f>SUM(V30)/2</f>
        <v>24.566426701570681</v>
      </c>
      <c r="H47" s="247">
        <f>SUM(V30)/2</f>
        <v>24.566426701570681</v>
      </c>
      <c r="I47" s="250">
        <f>SUM(W30)/3</f>
        <v>15.0032722513089</v>
      </c>
      <c r="J47" s="250">
        <f>SUM(W30)/3</f>
        <v>15.0032722513089</v>
      </c>
      <c r="K47" s="250">
        <f>SUM(W30)/3</f>
        <v>15.0032722513089</v>
      </c>
      <c r="L47" s="247">
        <f>SUM(X30)/3</f>
        <v>9.0165397429795338</v>
      </c>
      <c r="M47" s="247">
        <f>SUM(X30)/3</f>
        <v>9.0165397429795338</v>
      </c>
      <c r="N47" s="247">
        <f>SUM(X30)/3</f>
        <v>9.0165397429795338</v>
      </c>
      <c r="O47" s="247">
        <f>SUM(Y30)</f>
        <v>29.704604950023796</v>
      </c>
      <c r="P47" s="249">
        <f t="shared" si="25"/>
        <v>457.93818419800095</v>
      </c>
    </row>
    <row r="48" spans="1:26">
      <c r="A48" s="4">
        <v>7</v>
      </c>
      <c r="B48" s="246">
        <f>SUM(L31:Q31)</f>
        <v>132.07895049976202</v>
      </c>
      <c r="C48" s="247">
        <f>SUM(R31:S31)</f>
        <v>41.311518324607334</v>
      </c>
      <c r="D48" s="247">
        <f>SUM(T31)</f>
        <v>13.406592099000477</v>
      </c>
      <c r="E48" s="247">
        <f>SUM(U31)</f>
        <v>27.839421703950499</v>
      </c>
      <c r="F48" s="247">
        <f>SUM(V31)/2</f>
        <v>17.173102094240839</v>
      </c>
      <c r="G48" s="247">
        <f>SUM(V31)/2</f>
        <v>17.173102094240839</v>
      </c>
      <c r="H48" s="250">
        <f>SUM(W31)/3</f>
        <v>10.488001745200698</v>
      </c>
      <c r="I48" s="250">
        <f>SUM(W31)/3</f>
        <v>10.488001745200698</v>
      </c>
      <c r="J48" s="250">
        <f>SUM(W31)/3</f>
        <v>10.488001745200698</v>
      </c>
      <c r="K48" s="247">
        <f>SUM(X31)/3</f>
        <v>6.3029906393780744</v>
      </c>
      <c r="L48" s="247">
        <f>SUM(X31)/3</f>
        <v>6.3029906393780744</v>
      </c>
      <c r="M48" s="247">
        <f>SUM(X31)/3</f>
        <v>6.3029906393780744</v>
      </c>
      <c r="N48" s="247">
        <f>SUM(Y31)/2</f>
        <v>10.382466682532128</v>
      </c>
      <c r="O48" s="247">
        <f>SUM(Y31)/2</f>
        <v>10.382466682532128</v>
      </c>
      <c r="P48" s="249">
        <f t="shared" si="25"/>
        <v>320.12059733460262</v>
      </c>
      <c r="R48" s="93"/>
      <c r="S48" s="93"/>
    </row>
    <row r="49" spans="2:17" ht="15.75" thickBot="1">
      <c r="B49" s="246">
        <f>SUM(B42:B48)</f>
        <v>2932.915337934317</v>
      </c>
      <c r="C49" s="251">
        <f t="shared" ref="C49:N49" si="26">SUM(C42:C48)</f>
        <v>1172.802831984769</v>
      </c>
      <c r="D49" s="251">
        <f t="shared" si="26"/>
        <v>576.50886482627322</v>
      </c>
      <c r="E49" s="251">
        <f t="shared" si="26"/>
        <v>702.6768503093765</v>
      </c>
      <c r="F49" s="251">
        <f t="shared" si="26"/>
        <v>716.0004759638266</v>
      </c>
      <c r="G49" s="251">
        <f t="shared" si="26"/>
        <v>612.88570918610174</v>
      </c>
      <c r="H49" s="251">
        <f t="shared" si="26"/>
        <v>563.95965214976991</v>
      </c>
      <c r="I49" s="251">
        <f t="shared" si="26"/>
        <v>675.00692130731397</v>
      </c>
      <c r="J49" s="251">
        <f t="shared" si="26"/>
        <v>558.60267927970801</v>
      </c>
      <c r="K49" s="251">
        <f t="shared" si="26"/>
        <v>528.23013842614637</v>
      </c>
      <c r="L49" s="251">
        <f t="shared" si="26"/>
        <v>480.85382952562276</v>
      </c>
      <c r="M49" s="251">
        <f t="shared" si="26"/>
        <v>480.85382952562276</v>
      </c>
      <c r="N49" s="251">
        <f t="shared" si="26"/>
        <v>547.51883031889565</v>
      </c>
      <c r="O49" s="251">
        <f>SUM(O42:O48)</f>
        <v>4112.1840492622559</v>
      </c>
      <c r="P49" s="252">
        <f>SUM(P42:P48)</f>
        <v>14660.999999999998</v>
      </c>
      <c r="Q49" s="13"/>
    </row>
    <row r="50" spans="2:17" ht="15.75" thickBot="1">
      <c r="B50" s="228">
        <f>SUM(B49)/$D$37</f>
        <v>0.20004879189238914</v>
      </c>
      <c r="C50" s="228">
        <f t="shared" ref="C50:O50" si="27">SUM(C49)/$D$37</f>
        <v>7.9994736510795236E-2</v>
      </c>
      <c r="D50" s="228">
        <f t="shared" si="27"/>
        <v>3.9322615430480407E-2</v>
      </c>
      <c r="E50" s="228">
        <f t="shared" si="27"/>
        <v>4.7928303001799094E-2</v>
      </c>
      <c r="F50" s="228">
        <f t="shared" si="27"/>
        <v>4.883708314329354E-2</v>
      </c>
      <c r="G50" s="228">
        <f t="shared" si="27"/>
        <v>4.1803813463345045E-2</v>
      </c>
      <c r="H50" s="228">
        <f t="shared" si="27"/>
        <v>3.8466656582072843E-2</v>
      </c>
      <c r="I50" s="228">
        <f t="shared" si="27"/>
        <v>4.6040987743490483E-2</v>
      </c>
      <c r="J50" s="228">
        <f t="shared" si="27"/>
        <v>3.8101267258693679E-2</v>
      </c>
      <c r="K50" s="228">
        <f t="shared" si="27"/>
        <v>3.6029611788155405E-2</v>
      </c>
      <c r="L50" s="228">
        <f t="shared" si="27"/>
        <v>3.2798160393262582E-2</v>
      </c>
      <c r="M50" s="228">
        <f t="shared" si="27"/>
        <v>3.2798160393262582E-2</v>
      </c>
      <c r="N50" s="228">
        <f t="shared" si="27"/>
        <v>3.7345258189679806E-2</v>
      </c>
      <c r="O50" s="253">
        <f t="shared" si="27"/>
        <v>0.28048455420928015</v>
      </c>
      <c r="P50" s="254">
        <f>SUM(B50:O50)</f>
        <v>1</v>
      </c>
    </row>
    <row r="51" spans="2:17" ht="15.75" thickBot="1">
      <c r="B51" s="376">
        <f>SUM(B50:C50)</f>
        <v>0.28004352840318436</v>
      </c>
      <c r="C51" s="377"/>
      <c r="D51" s="255">
        <f>SUM(D50)</f>
        <v>3.9322615430480407E-2</v>
      </c>
      <c r="E51" s="376">
        <f>SUM(E50:F50)</f>
        <v>9.6765386145092641E-2</v>
      </c>
      <c r="F51" s="377"/>
      <c r="G51" s="376">
        <f>SUM(G50:H50)</f>
        <v>8.0270470045417888E-2</v>
      </c>
      <c r="H51" s="377"/>
      <c r="I51" s="376">
        <f>SUM(I50:J50)</f>
        <v>8.4142255002184169E-2</v>
      </c>
      <c r="J51" s="377"/>
      <c r="K51" s="378">
        <f>SUM(K50:L50)</f>
        <v>6.8827772181417987E-2</v>
      </c>
      <c r="L51" s="379"/>
      <c r="M51" s="378">
        <f>SUM(M50:N50)</f>
        <v>7.0143418582942388E-2</v>
      </c>
      <c r="N51" s="379"/>
      <c r="O51" s="256"/>
      <c r="P51" s="257"/>
    </row>
    <row r="52" spans="2:17" ht="15.75" thickBot="1">
      <c r="D52" s="28"/>
      <c r="E52" s="29"/>
      <c r="F52" s="29"/>
      <c r="G52" s="29"/>
      <c r="H52" s="29"/>
      <c r="I52" s="29"/>
      <c r="J52" s="29"/>
      <c r="K52" s="376">
        <f>SUM(K50:N50)</f>
        <v>0.13897119076436037</v>
      </c>
      <c r="L52" s="380"/>
      <c r="M52" s="380"/>
      <c r="N52" s="377"/>
      <c r="O52" s="65"/>
      <c r="P52" s="27"/>
    </row>
  </sheetData>
  <sheetProtection selectLockedCells="1"/>
  <mergeCells count="14">
    <mergeCell ref="K52:N52"/>
    <mergeCell ref="H23:H24"/>
    <mergeCell ref="I23:J23"/>
    <mergeCell ref="B51:C51"/>
    <mergeCell ref="E51:F51"/>
    <mergeCell ref="G51:H51"/>
    <mergeCell ref="A21:E21"/>
    <mergeCell ref="H21:K21"/>
    <mergeCell ref="L23:Y23"/>
    <mergeCell ref="L22:Z22"/>
    <mergeCell ref="I51:J51"/>
    <mergeCell ref="K51:L51"/>
    <mergeCell ref="M51:N51"/>
    <mergeCell ref="A40:P40"/>
  </mergeCells>
  <pageMargins left="0.25" right="0.25" top="0.75" bottom="0.75" header="0.3" footer="0.3"/>
  <pageSetup scale="54" orientation="landscape" horizontalDpi="300" verticalDpi="300" r:id="rId1"/>
  <headerFooter>
    <oddFooter>&amp;L&amp;A&amp;RPage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0"/>
  <sheetViews>
    <sheetView topLeftCell="E1" zoomScaleNormal="100" workbookViewId="0">
      <selection activeCell="N21" sqref="N21"/>
    </sheetView>
  </sheetViews>
  <sheetFormatPr defaultRowHeight="15"/>
  <cols>
    <col min="1" max="1" width="1.85546875" customWidth="1"/>
    <col min="2" max="2" width="3.85546875" customWidth="1"/>
    <col min="4" max="4" width="18.7109375" customWidth="1"/>
    <col min="5" max="5" width="2.7109375" customWidth="1"/>
    <col min="6" max="6" width="12.42578125" customWidth="1"/>
    <col min="7" max="7" width="3.140625" customWidth="1"/>
    <col min="8" max="8" width="13.140625" customWidth="1"/>
    <col min="9" max="9" width="2.140625" customWidth="1"/>
    <col min="10" max="10" width="12.7109375" customWidth="1"/>
    <col min="11" max="11" width="3.5703125" customWidth="1"/>
    <col min="12" max="12" width="14.7109375" customWidth="1"/>
    <col min="13" max="13" width="3.140625" customWidth="1"/>
    <col min="14" max="14" width="17.5703125" customWidth="1"/>
    <col min="15" max="15" width="2.7109375" customWidth="1"/>
    <col min="16" max="16" width="17.140625" customWidth="1"/>
    <col min="17" max="17" width="17" customWidth="1"/>
  </cols>
  <sheetData>
    <row r="1" spans="2:29" ht="15.75">
      <c r="B1" s="69" t="s">
        <v>55</v>
      </c>
      <c r="C1" s="3"/>
      <c r="D1" s="3"/>
      <c r="E1" s="3"/>
      <c r="Q1" s="94" t="s">
        <v>71</v>
      </c>
    </row>
    <row r="2" spans="2:29" ht="15.75" thickBot="1">
      <c r="Q2" s="94" t="s">
        <v>72</v>
      </c>
    </row>
    <row r="3" spans="2:29">
      <c r="B3" s="35" t="s">
        <v>56</v>
      </c>
      <c r="C3" s="37"/>
      <c r="D3" s="37"/>
      <c r="E3" s="37"/>
      <c r="F3" s="37"/>
      <c r="G3" s="37"/>
      <c r="H3" s="37"/>
      <c r="I3" s="37"/>
      <c r="J3" s="37"/>
      <c r="K3" s="37"/>
      <c r="L3" s="37"/>
      <c r="M3" s="37"/>
      <c r="N3" s="38"/>
      <c r="Q3" s="94" t="s">
        <v>75</v>
      </c>
      <c r="R3">
        <v>2008</v>
      </c>
      <c r="S3">
        <v>2009</v>
      </c>
      <c r="T3">
        <v>2010</v>
      </c>
    </row>
    <row r="4" spans="2:29">
      <c r="B4" s="96"/>
      <c r="C4" s="93"/>
      <c r="D4" s="93"/>
      <c r="E4" s="93"/>
      <c r="F4" s="97" t="s">
        <v>63</v>
      </c>
      <c r="G4" s="93"/>
      <c r="H4" s="97" t="s">
        <v>1</v>
      </c>
      <c r="I4" s="98"/>
      <c r="J4" s="97" t="s">
        <v>1</v>
      </c>
      <c r="K4" s="98"/>
      <c r="L4" s="97" t="s">
        <v>66</v>
      </c>
      <c r="M4" s="93"/>
      <c r="N4" s="109" t="s">
        <v>68</v>
      </c>
      <c r="P4">
        <v>2011</v>
      </c>
      <c r="R4">
        <v>5.8</v>
      </c>
      <c r="S4">
        <v>5.5</v>
      </c>
      <c r="T4">
        <v>3.8</v>
      </c>
      <c r="U4" t="s">
        <v>79</v>
      </c>
    </row>
    <row r="5" spans="2:29">
      <c r="B5" s="96" t="s">
        <v>76</v>
      </c>
      <c r="C5" s="98"/>
      <c r="D5" s="98"/>
      <c r="E5" s="98"/>
      <c r="F5" s="97" t="s">
        <v>62</v>
      </c>
      <c r="G5" s="98"/>
      <c r="H5" s="97" t="s">
        <v>64</v>
      </c>
      <c r="I5" s="98"/>
      <c r="J5" s="322" t="s">
        <v>65</v>
      </c>
      <c r="K5" s="98"/>
      <c r="L5" s="97" t="s">
        <v>67</v>
      </c>
      <c r="M5" s="93"/>
      <c r="N5" s="109" t="s">
        <v>69</v>
      </c>
      <c r="P5">
        <v>2012</v>
      </c>
      <c r="Q5" s="163">
        <v>1.0209999999999999</v>
      </c>
      <c r="R5">
        <v>5.9217999999999993</v>
      </c>
      <c r="S5">
        <v>5.615499999999999</v>
      </c>
      <c r="T5">
        <v>3.8797999999999995</v>
      </c>
      <c r="U5" t="s">
        <v>80</v>
      </c>
    </row>
    <row r="6" spans="2:29">
      <c r="B6" s="96"/>
      <c r="C6" s="98" t="s">
        <v>57</v>
      </c>
      <c r="D6" s="98"/>
      <c r="E6" s="98"/>
      <c r="F6" s="310">
        <f>SUM(Questionnaire!E35)</f>
        <v>2609</v>
      </c>
      <c r="G6" s="98"/>
      <c r="H6" s="309">
        <f>SUM(Questionnaire!G35)</f>
        <v>1485475.56</v>
      </c>
      <c r="I6" s="98"/>
      <c r="J6" s="309">
        <f>SUM(Questionnaire!I35)</f>
        <v>1382044.54</v>
      </c>
      <c r="K6" s="98"/>
      <c r="L6" s="258">
        <f>SUM(J6)/H6</f>
        <v>0.93037177939164473</v>
      </c>
      <c r="M6" s="93"/>
      <c r="N6" s="99"/>
      <c r="P6">
        <v>2013</v>
      </c>
      <c r="Q6" s="163">
        <v>1.0209999999999999</v>
      </c>
      <c r="R6">
        <v>6.0461577999999987</v>
      </c>
      <c r="S6">
        <v>5.7334254999999983</v>
      </c>
      <c r="T6">
        <v>3.9612757999999992</v>
      </c>
      <c r="U6" t="s">
        <v>80</v>
      </c>
    </row>
    <row r="7" spans="2:29">
      <c r="B7" s="96"/>
      <c r="C7" s="98" t="s">
        <v>82</v>
      </c>
      <c r="D7" s="98"/>
      <c r="E7" s="98"/>
      <c r="F7" s="100"/>
      <c r="G7" s="98"/>
      <c r="H7" s="309">
        <f>SUM(Questionnaire!E48)</f>
        <v>0</v>
      </c>
      <c r="I7" s="98"/>
      <c r="J7" s="309">
        <f>SUM(Questionnaire!G48)</f>
        <v>0</v>
      </c>
      <c r="K7" s="98"/>
      <c r="L7" s="258"/>
      <c r="M7" s="93"/>
      <c r="N7" s="99"/>
      <c r="P7">
        <v>2014</v>
      </c>
      <c r="Q7" s="163">
        <v>1.0209999999999999</v>
      </c>
      <c r="R7">
        <v>6.1731271137999979</v>
      </c>
      <c r="S7">
        <v>5.8538274354999977</v>
      </c>
      <c r="T7">
        <v>4.1197268319999996</v>
      </c>
      <c r="U7" t="s">
        <v>80</v>
      </c>
    </row>
    <row r="8" spans="2:29">
      <c r="B8" s="96" t="s">
        <v>77</v>
      </c>
      <c r="C8" s="98"/>
      <c r="D8" s="98"/>
      <c r="E8" s="98"/>
      <c r="F8" s="98"/>
      <c r="G8" s="98"/>
      <c r="H8" s="135">
        <f>SUM(H6:H7)</f>
        <v>1485475.56</v>
      </c>
      <c r="I8" s="98"/>
      <c r="J8" s="135">
        <f>SUM(J6:J7)</f>
        <v>1382044.54</v>
      </c>
      <c r="K8" s="98"/>
      <c r="L8" s="258">
        <f>SUM(J8)/H8</f>
        <v>0.93037177939164473</v>
      </c>
      <c r="M8" s="93"/>
      <c r="N8" s="260">
        <f>SUM(J8)/F6</f>
        <v>529.72193944039861</v>
      </c>
      <c r="R8">
        <v>1.0617312699999999</v>
      </c>
      <c r="S8">
        <v>1.0585382699999999</v>
      </c>
      <c r="T8">
        <v>1.0411972700000001</v>
      </c>
    </row>
    <row r="9" spans="2:29">
      <c r="B9" s="96"/>
      <c r="C9" s="98"/>
      <c r="D9" s="98"/>
      <c r="E9" s="98"/>
      <c r="F9" s="98"/>
      <c r="G9" s="98"/>
      <c r="H9" s="98"/>
      <c r="I9" s="98"/>
      <c r="J9" s="98"/>
      <c r="K9" s="98"/>
      <c r="L9" s="98"/>
      <c r="M9" s="93"/>
      <c r="N9" s="101"/>
    </row>
    <row r="10" spans="2:29">
      <c r="B10" s="96" t="s">
        <v>58</v>
      </c>
      <c r="C10" s="98"/>
      <c r="D10" s="98"/>
      <c r="E10" s="98"/>
      <c r="F10" s="98"/>
      <c r="G10" s="98"/>
      <c r="H10" s="98"/>
      <c r="I10" s="98"/>
      <c r="J10" s="98"/>
      <c r="K10" s="98"/>
      <c r="L10" s="98"/>
      <c r="M10" s="93"/>
      <c r="N10" s="101"/>
    </row>
    <row r="11" spans="2:29">
      <c r="B11" s="96"/>
      <c r="C11" s="98" t="s">
        <v>59</v>
      </c>
      <c r="D11" s="98"/>
      <c r="E11" s="98"/>
      <c r="F11" s="311">
        <f>SUM(Questionnaire!E37)</f>
        <v>1140</v>
      </c>
      <c r="G11" s="98"/>
      <c r="H11" s="309">
        <f>SUM(Questionnaire!G37)</f>
        <v>635288</v>
      </c>
      <c r="I11" s="98"/>
      <c r="J11" s="309">
        <f>SUM(Questionnaire!I37)</f>
        <v>708238</v>
      </c>
      <c r="K11" s="98"/>
      <c r="L11" s="258">
        <f>SUM(J11)/H11</f>
        <v>1.1148298094722393</v>
      </c>
      <c r="M11" s="93"/>
      <c r="N11" s="99"/>
    </row>
    <row r="12" spans="2:29">
      <c r="B12" s="96"/>
      <c r="C12" s="98" t="s">
        <v>82</v>
      </c>
      <c r="D12" s="98"/>
      <c r="E12" s="98"/>
      <c r="F12" s="100"/>
      <c r="G12" s="98"/>
      <c r="H12" s="309">
        <f>SUM(Questionnaire!E50)</f>
        <v>0</v>
      </c>
      <c r="I12" s="98"/>
      <c r="J12" s="309">
        <f>SUM(Questionnaire!G50)</f>
        <v>0</v>
      </c>
      <c r="K12" s="98"/>
      <c r="L12" s="258"/>
      <c r="M12" s="93"/>
      <c r="N12" s="99"/>
    </row>
    <row r="13" spans="2:29">
      <c r="B13" s="96" t="s">
        <v>78</v>
      </c>
      <c r="C13" s="98"/>
      <c r="D13" s="98"/>
      <c r="E13" s="98"/>
      <c r="F13" s="98"/>
      <c r="G13" s="98"/>
      <c r="H13" s="135">
        <f>SUM(H11:H12)</f>
        <v>635288</v>
      </c>
      <c r="I13" s="98"/>
      <c r="J13" s="135">
        <f>SUM(J11:J12)</f>
        <v>708238</v>
      </c>
      <c r="K13" s="98"/>
      <c r="L13" s="258">
        <f>SUM(J13)/H13</f>
        <v>1.1148298094722393</v>
      </c>
      <c r="M13" s="93"/>
      <c r="N13" s="260">
        <f>SUM(J13)/F11</f>
        <v>621.26140350877188</v>
      </c>
    </row>
    <row r="14" spans="2:29">
      <c r="B14" s="96"/>
      <c r="C14" s="98"/>
      <c r="D14" s="98"/>
      <c r="E14" s="98"/>
      <c r="F14" s="98"/>
      <c r="G14" s="98"/>
      <c r="H14" s="98"/>
      <c r="I14" s="98"/>
      <c r="J14" s="98"/>
      <c r="K14" s="98"/>
      <c r="L14" s="98"/>
      <c r="M14" s="93"/>
      <c r="N14" s="101"/>
    </row>
    <row r="15" spans="2:29">
      <c r="B15" s="96" t="s">
        <v>60</v>
      </c>
      <c r="C15" s="98"/>
      <c r="D15" s="98"/>
      <c r="E15" s="98"/>
      <c r="F15" s="98"/>
      <c r="G15" s="98"/>
      <c r="H15" s="98"/>
      <c r="I15" s="98"/>
      <c r="J15" s="98"/>
      <c r="K15" s="98"/>
      <c r="L15" s="98"/>
      <c r="M15" s="93"/>
      <c r="N15" s="101"/>
    </row>
    <row r="16" spans="2:29">
      <c r="B16" s="96"/>
      <c r="C16" s="98" t="s">
        <v>57</v>
      </c>
      <c r="D16" s="98"/>
      <c r="E16" s="98"/>
      <c r="F16" s="311">
        <f>SUM(Questionnaire!E39)</f>
        <v>907</v>
      </c>
      <c r="G16" s="98"/>
      <c r="H16" s="309">
        <f>SUM(Questionnaire!G39)</f>
        <v>261531.78</v>
      </c>
      <c r="I16" s="98"/>
      <c r="J16" s="309">
        <f>SUM(Questionnaire!I39)</f>
        <v>218733</v>
      </c>
      <c r="K16" s="98"/>
      <c r="L16" s="258">
        <f>SUM(J16)/H16</f>
        <v>0.83635342519368006</v>
      </c>
      <c r="M16" s="93"/>
      <c r="N16" s="99"/>
      <c r="Z16">
        <v>2609</v>
      </c>
      <c r="AA16">
        <v>1053</v>
      </c>
      <c r="AB16">
        <f>AA16/Z16</f>
        <v>0.40360291299348411</v>
      </c>
      <c r="AC16" s="339">
        <v>0.4</v>
      </c>
    </row>
    <row r="17" spans="2:29">
      <c r="B17" s="96"/>
      <c r="C17" s="98" t="s">
        <v>82</v>
      </c>
      <c r="D17" s="98"/>
      <c r="E17" s="98"/>
      <c r="F17" s="100"/>
      <c r="G17" s="98"/>
      <c r="H17" s="309">
        <f>SUM(Questionnaire!E52)</f>
        <v>0</v>
      </c>
      <c r="I17" s="98"/>
      <c r="J17" s="309"/>
      <c r="K17" s="98"/>
      <c r="L17" s="258"/>
      <c r="M17" s="93"/>
      <c r="N17" s="99"/>
      <c r="U17" s="208"/>
      <c r="Z17">
        <v>1140</v>
      </c>
      <c r="AA17">
        <v>452</v>
      </c>
      <c r="AB17">
        <f t="shared" ref="AB17:AB18" si="0">AA17/Z17</f>
        <v>0.39649122807017545</v>
      </c>
      <c r="AC17" s="339">
        <v>0.4</v>
      </c>
    </row>
    <row r="18" spans="2:29" ht="15.75" thickBot="1">
      <c r="B18" s="102" t="s">
        <v>61</v>
      </c>
      <c r="C18" s="103"/>
      <c r="D18" s="103"/>
      <c r="E18" s="103"/>
      <c r="F18" s="103"/>
      <c r="G18" s="103"/>
      <c r="H18" s="136">
        <f>SUM(H16:H17)</f>
        <v>261531.78</v>
      </c>
      <c r="I18" s="103"/>
      <c r="J18" s="136">
        <f>SUM(J16:J17)</f>
        <v>218733</v>
      </c>
      <c r="K18" s="103"/>
      <c r="L18" s="259">
        <f>SUM(J18)/H18</f>
        <v>0.83635342519368006</v>
      </c>
      <c r="M18" s="62"/>
      <c r="N18" s="261">
        <f>SUM(J18)/F16</f>
        <v>241.16097023153253</v>
      </c>
      <c r="Z18">
        <v>907</v>
      </c>
      <c r="AA18">
        <v>264</v>
      </c>
      <c r="AB18">
        <f t="shared" si="0"/>
        <v>0.29106945975744214</v>
      </c>
      <c r="AC18" s="339">
        <v>0.3</v>
      </c>
    </row>
    <row r="19" spans="2:29">
      <c r="B19" s="3"/>
      <c r="C19" s="3"/>
      <c r="D19" s="3"/>
      <c r="E19" s="3"/>
      <c r="F19" s="3"/>
      <c r="G19" s="3"/>
      <c r="H19" s="3"/>
      <c r="I19" s="3"/>
      <c r="J19" s="3"/>
      <c r="K19" s="3"/>
      <c r="L19" s="3"/>
    </row>
    <row r="20" spans="2:29" ht="15.75" thickBot="1"/>
    <row r="21" spans="2:29">
      <c r="B21" s="197" t="s">
        <v>228</v>
      </c>
      <c r="C21" s="37"/>
      <c r="D21" s="37"/>
      <c r="E21" s="37"/>
      <c r="F21" s="37"/>
      <c r="G21" s="37"/>
      <c r="H21" s="37"/>
      <c r="I21" s="37"/>
      <c r="J21" s="37"/>
      <c r="K21" s="37"/>
      <c r="L21" s="198"/>
      <c r="M21" s="36"/>
      <c r="N21" s="196" t="s">
        <v>155</v>
      </c>
      <c r="O21" s="199"/>
      <c r="P21" s="36" t="s">
        <v>216</v>
      </c>
      <c r="Q21" s="186" t="s">
        <v>217</v>
      </c>
    </row>
    <row r="22" spans="2:29">
      <c r="B22" s="96"/>
      <c r="C22" s="98"/>
      <c r="D22" s="98"/>
      <c r="E22" s="98"/>
      <c r="F22" s="98"/>
      <c r="G22" s="98"/>
      <c r="H22" s="98"/>
      <c r="I22" s="98"/>
      <c r="J22" s="98"/>
      <c r="K22" s="98"/>
      <c r="L22" s="98"/>
      <c r="M22" s="98"/>
      <c r="N22" s="12" t="s">
        <v>215</v>
      </c>
      <c r="O22" s="104"/>
      <c r="P22" s="12" t="s">
        <v>215</v>
      </c>
      <c r="Q22" s="200" t="s">
        <v>218</v>
      </c>
    </row>
    <row r="23" spans="2:29">
      <c r="B23" s="96" t="s">
        <v>138</v>
      </c>
      <c r="C23" s="98"/>
      <c r="D23" s="98"/>
      <c r="E23" s="98"/>
      <c r="F23" s="98"/>
      <c r="G23" s="98"/>
      <c r="H23" s="98"/>
      <c r="I23" s="98"/>
      <c r="J23" s="98"/>
      <c r="K23" s="98"/>
      <c r="L23" s="98"/>
      <c r="M23" s="98"/>
      <c r="N23" s="276">
        <f>SUM('Worksheet 1 - Demographics'!C13)</f>
        <v>2037</v>
      </c>
      <c r="O23" s="104"/>
      <c r="P23" s="276">
        <v>200</v>
      </c>
      <c r="Q23" s="278">
        <f>SUM('Worksheet 1 - Demographics'!G13)</f>
        <v>994</v>
      </c>
      <c r="R23" s="105"/>
    </row>
    <row r="24" spans="2:29">
      <c r="B24" s="96" t="s">
        <v>139</v>
      </c>
      <c r="C24" s="98"/>
      <c r="D24" s="98"/>
      <c r="E24" s="98"/>
      <c r="F24" s="98"/>
      <c r="G24" s="98"/>
      <c r="H24" s="98"/>
      <c r="I24" s="98"/>
      <c r="J24" s="98"/>
      <c r="K24" s="106"/>
      <c r="L24" s="262"/>
      <c r="M24" s="98"/>
      <c r="N24" s="262"/>
      <c r="O24" s="104"/>
      <c r="P24" s="262"/>
      <c r="Q24" s="265"/>
      <c r="R24" s="105"/>
    </row>
    <row r="25" spans="2:29">
      <c r="B25" s="96"/>
      <c r="C25" s="98"/>
      <c r="D25" s="98"/>
      <c r="E25" s="98"/>
      <c r="F25" s="98"/>
      <c r="G25" s="98"/>
      <c r="H25" s="98"/>
      <c r="I25" s="98"/>
      <c r="J25" s="98"/>
      <c r="K25" s="106"/>
      <c r="L25" s="107"/>
      <c r="M25" s="98"/>
      <c r="N25" s="98"/>
      <c r="O25" s="104"/>
      <c r="P25" s="104"/>
      <c r="Q25" s="201"/>
      <c r="R25" s="105"/>
    </row>
    <row r="26" spans="2:29">
      <c r="B26" s="96" t="s">
        <v>81</v>
      </c>
      <c r="C26" s="98"/>
      <c r="D26" s="98"/>
      <c r="E26" s="98"/>
      <c r="F26" s="98"/>
      <c r="G26" s="98"/>
      <c r="H26" s="98"/>
      <c r="I26" s="106"/>
      <c r="J26" s="98"/>
      <c r="K26" s="98"/>
      <c r="L26" s="98"/>
      <c r="M26" s="98"/>
      <c r="N26" s="263">
        <f>SUM(N13)*N24</f>
        <v>0</v>
      </c>
      <c r="O26" s="104"/>
      <c r="P26" s="266">
        <f>SUM(N13)*P24</f>
        <v>0</v>
      </c>
      <c r="Q26" s="268">
        <f>SUM(N13)*Q24</f>
        <v>0</v>
      </c>
      <c r="R26" s="105"/>
    </row>
    <row r="27" spans="2:29" ht="17.25">
      <c r="B27" s="96" t="s">
        <v>230</v>
      </c>
      <c r="C27" s="98"/>
      <c r="D27" s="98"/>
      <c r="E27" s="98"/>
      <c r="F27" s="108"/>
      <c r="G27" s="98"/>
      <c r="H27" s="98"/>
      <c r="I27" s="106"/>
      <c r="J27" s="98"/>
      <c r="K27" s="98"/>
      <c r="L27" s="98"/>
      <c r="M27" s="98"/>
      <c r="N27" s="264">
        <f>SUM(N8)*(N23-N24)</f>
        <v>1079043.590640092</v>
      </c>
      <c r="O27" s="104"/>
      <c r="P27" s="267">
        <f>SUM(N8)*(P23-P24)</f>
        <v>105944.38788807973</v>
      </c>
      <c r="Q27" s="269">
        <f>SUM(N8)*(Q23-Q24)</f>
        <v>526543.60780375625</v>
      </c>
      <c r="R27" s="105"/>
    </row>
    <row r="28" spans="2:29">
      <c r="B28" s="96" t="s">
        <v>73</v>
      </c>
      <c r="C28" s="98"/>
      <c r="D28" s="98"/>
      <c r="E28" s="98"/>
      <c r="F28" s="108"/>
      <c r="G28" s="98"/>
      <c r="H28" s="98"/>
      <c r="I28" s="98"/>
      <c r="J28" s="98"/>
      <c r="K28" s="98"/>
      <c r="L28" s="106"/>
      <c r="M28" s="98"/>
      <c r="N28" s="263">
        <f>SUM(N26:N27)</f>
        <v>1079043.590640092</v>
      </c>
      <c r="O28" s="104"/>
      <c r="P28" s="266">
        <f>SUM(P26:P27)</f>
        <v>105944.38788807973</v>
      </c>
      <c r="Q28" s="270">
        <f>SUM(Q26:Q27)</f>
        <v>526543.60780375625</v>
      </c>
      <c r="R28" s="105"/>
    </row>
    <row r="29" spans="2:29">
      <c r="B29" s="96"/>
      <c r="C29" s="98"/>
      <c r="D29" s="98"/>
      <c r="E29" s="98"/>
      <c r="F29" s="108"/>
      <c r="G29" s="98"/>
      <c r="H29" s="98"/>
      <c r="I29" s="98"/>
      <c r="J29" s="98"/>
      <c r="K29" s="98"/>
      <c r="L29" s="106"/>
      <c r="M29" s="98"/>
      <c r="N29" s="98"/>
      <c r="O29" s="104"/>
      <c r="P29" s="104"/>
      <c r="Q29" s="201"/>
      <c r="R29" s="105"/>
    </row>
    <row r="30" spans="2:29" ht="15.75" thickBot="1">
      <c r="B30" s="102" t="s">
        <v>74</v>
      </c>
      <c r="C30" s="103"/>
      <c r="D30" s="103"/>
      <c r="E30" s="103"/>
      <c r="F30" s="111"/>
      <c r="G30" s="103"/>
      <c r="H30" s="103"/>
      <c r="I30" s="103"/>
      <c r="J30" s="103"/>
      <c r="K30" s="103"/>
      <c r="L30" s="103"/>
      <c r="M30" s="103"/>
      <c r="N30" s="271">
        <f>SUM(N28)*T8</f>
        <v>1123497.2407854614</v>
      </c>
      <c r="O30" s="272"/>
      <c r="P30" s="273">
        <f>SUM(P28)*T8</f>
        <v>110309.00744088969</v>
      </c>
      <c r="Q30" s="274">
        <f>SUM(Q28)*T8</f>
        <v>548235.76698122174</v>
      </c>
      <c r="R30" s="105"/>
    </row>
  </sheetData>
  <sheetProtection selectLockedCells="1"/>
  <pageMargins left="0.7" right="0.7" top="0.75" bottom="0.75" header="0.3" footer="0.3"/>
  <pageSetup scale="65" orientation="landscape" horizontalDpi="300" verticalDpi="300" r:id="rId1"/>
  <headerFooter>
    <oddFooter>&amp;L&amp;A&amp;RPage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U35"/>
  <sheetViews>
    <sheetView workbookViewId="0">
      <selection activeCell="R17" sqref="R17"/>
    </sheetView>
  </sheetViews>
  <sheetFormatPr defaultRowHeight="15"/>
  <cols>
    <col min="1" max="1" width="4.28515625" customWidth="1"/>
    <col min="6" max="6" width="13.28515625" customWidth="1"/>
    <col min="7" max="7" width="1.85546875" customWidth="1"/>
    <col min="8" max="8" width="11.5703125" customWidth="1"/>
    <col min="9" max="9" width="3" customWidth="1"/>
    <col min="10" max="10" width="13.28515625" customWidth="1"/>
    <col min="11" max="11" width="1.85546875" customWidth="1"/>
    <col min="12" max="12" width="12.42578125" customWidth="1"/>
    <col min="13" max="13" width="2" customWidth="1"/>
    <col min="14" max="14" width="13.85546875" customWidth="1"/>
    <col min="15" max="15" width="6" customWidth="1"/>
  </cols>
  <sheetData>
    <row r="1" spans="1:21" ht="15.75">
      <c r="A1" s="93"/>
      <c r="B1" s="132" t="s">
        <v>83</v>
      </c>
      <c r="C1" s="98"/>
      <c r="D1" s="98"/>
      <c r="E1" s="98"/>
      <c r="F1" s="93"/>
      <c r="G1" s="93"/>
      <c r="H1" s="93"/>
      <c r="I1" s="93"/>
      <c r="J1" s="93"/>
      <c r="K1" s="93"/>
      <c r="L1" s="93"/>
      <c r="M1" s="93"/>
      <c r="N1" s="93"/>
      <c r="O1" s="93"/>
    </row>
    <row r="2" spans="1:21" ht="15.75">
      <c r="A2" s="93"/>
      <c r="B2" s="132"/>
      <c r="C2" s="98"/>
      <c r="D2" s="98"/>
      <c r="E2" s="98"/>
      <c r="F2" s="93"/>
      <c r="G2" s="93"/>
      <c r="H2" s="93"/>
      <c r="I2" s="93"/>
      <c r="J2" s="93"/>
      <c r="K2" s="93"/>
      <c r="L2" s="93"/>
      <c r="M2" s="93"/>
      <c r="N2" s="93"/>
      <c r="O2" s="93"/>
    </row>
    <row r="3" spans="1:21" ht="15.75" thickBot="1">
      <c r="A3" s="93"/>
      <c r="B3" s="375" t="s">
        <v>170</v>
      </c>
      <c r="C3" s="375"/>
      <c r="D3" s="375"/>
      <c r="E3" s="375"/>
      <c r="F3" s="375"/>
      <c r="G3" s="375"/>
      <c r="H3" s="375"/>
      <c r="I3" s="375"/>
      <c r="J3" s="375"/>
      <c r="K3" s="375"/>
      <c r="L3" s="375"/>
      <c r="M3" s="375"/>
      <c r="N3" s="375"/>
      <c r="O3" s="375"/>
    </row>
    <row r="4" spans="1:21">
      <c r="A4" s="93"/>
      <c r="B4" s="113"/>
      <c r="C4" s="93"/>
      <c r="D4" s="93"/>
      <c r="E4" s="93"/>
      <c r="F4" s="134">
        <v>2012</v>
      </c>
      <c r="G4" s="134"/>
      <c r="H4" s="134">
        <v>2009</v>
      </c>
      <c r="I4" s="134"/>
      <c r="J4" s="134">
        <v>2008</v>
      </c>
      <c r="K4" s="134"/>
      <c r="L4" s="134" t="s">
        <v>1</v>
      </c>
      <c r="M4" s="134"/>
      <c r="N4" s="134" t="s">
        <v>86</v>
      </c>
      <c r="O4" s="101"/>
      <c r="Q4" s="94" t="s">
        <v>71</v>
      </c>
    </row>
    <row r="5" spans="1:21">
      <c r="A5" s="93"/>
      <c r="B5" s="96" t="s">
        <v>84</v>
      </c>
      <c r="C5" s="98"/>
      <c r="D5" s="93"/>
      <c r="E5" s="93"/>
      <c r="F5" s="340">
        <f>SUM(Questionnaire!E58)</f>
        <v>1281825.99</v>
      </c>
      <c r="G5" s="341"/>
      <c r="H5" s="340">
        <f>SUM(Questionnaire!G58)</f>
        <v>0</v>
      </c>
      <c r="I5" s="341"/>
      <c r="J5" s="340">
        <f>SUM(Questionnaire!I58)</f>
        <v>0</v>
      </c>
      <c r="K5" s="341"/>
      <c r="L5" s="340">
        <f>SUM(F5)</f>
        <v>1281825.99</v>
      </c>
      <c r="M5" s="341"/>
      <c r="N5" s="340">
        <f>SUM(L5)</f>
        <v>1281825.99</v>
      </c>
      <c r="O5" s="342"/>
      <c r="Q5" s="94" t="s">
        <v>72</v>
      </c>
    </row>
    <row r="6" spans="1:21">
      <c r="A6" s="93"/>
      <c r="B6" s="113"/>
      <c r="C6" s="93"/>
      <c r="D6" s="93"/>
      <c r="E6" s="93"/>
      <c r="F6" s="341"/>
      <c r="G6" s="341"/>
      <c r="H6" s="341"/>
      <c r="I6" s="341"/>
      <c r="J6" s="341"/>
      <c r="K6" s="341"/>
      <c r="L6" s="341"/>
      <c r="M6" s="341"/>
      <c r="N6" s="341"/>
      <c r="O6" s="342"/>
      <c r="Q6" s="94" t="s">
        <v>75</v>
      </c>
      <c r="R6">
        <v>2008</v>
      </c>
      <c r="S6">
        <v>2009</v>
      </c>
      <c r="T6">
        <v>2010</v>
      </c>
    </row>
    <row r="7" spans="1:21">
      <c r="A7" s="93"/>
      <c r="B7" s="332" t="s">
        <v>267</v>
      </c>
      <c r="C7" s="333"/>
      <c r="D7" s="334"/>
      <c r="E7" s="334"/>
      <c r="F7" s="343">
        <f>SUM(Questionnaire!E60)</f>
        <v>1589</v>
      </c>
      <c r="G7" s="341"/>
      <c r="H7" s="343">
        <v>0</v>
      </c>
      <c r="I7" s="341"/>
      <c r="J7" s="343">
        <f>SUM(Questionnaire!I60)</f>
        <v>0</v>
      </c>
      <c r="K7" s="341"/>
      <c r="L7" s="343">
        <f>SUM(F7)</f>
        <v>1589</v>
      </c>
      <c r="M7" s="341"/>
      <c r="N7" s="343">
        <f>SUM(L7)</f>
        <v>1589</v>
      </c>
      <c r="O7" s="342"/>
      <c r="P7">
        <v>2011</v>
      </c>
      <c r="R7">
        <v>5.8</v>
      </c>
      <c r="S7">
        <v>5.5</v>
      </c>
      <c r="T7">
        <v>3.8</v>
      </c>
      <c r="U7" t="s">
        <v>79</v>
      </c>
    </row>
    <row r="8" spans="1:21">
      <c r="A8" s="93"/>
      <c r="B8" s="113"/>
      <c r="C8" s="93"/>
      <c r="D8" s="93"/>
      <c r="E8" s="93"/>
      <c r="F8" s="341"/>
      <c r="G8" s="341"/>
      <c r="H8" s="341"/>
      <c r="I8" s="341"/>
      <c r="J8" s="341"/>
      <c r="K8" s="341"/>
      <c r="L8" s="341"/>
      <c r="M8" s="341"/>
      <c r="N8" s="341"/>
      <c r="O8" s="342"/>
      <c r="P8">
        <v>2012</v>
      </c>
      <c r="Q8">
        <v>1.0209999999999999</v>
      </c>
      <c r="R8">
        <v>5.9217999999999993</v>
      </c>
      <c r="S8">
        <v>5.615499999999999</v>
      </c>
      <c r="T8">
        <v>3.8797999999999995</v>
      </c>
      <c r="U8" t="s">
        <v>80</v>
      </c>
    </row>
    <row r="9" spans="1:21">
      <c r="A9" s="93"/>
      <c r="B9" s="96" t="s">
        <v>85</v>
      </c>
      <c r="C9" s="93"/>
      <c r="D9" s="93"/>
      <c r="E9" s="93"/>
      <c r="F9" s="344">
        <f>SUM(F5)/F7</f>
        <v>806.68721837633734</v>
      </c>
      <c r="G9" s="341"/>
      <c r="H9" s="344"/>
      <c r="I9" s="341"/>
      <c r="J9" s="344"/>
      <c r="K9" s="341"/>
      <c r="L9" s="344">
        <f>SUM(F9)</f>
        <v>806.68721837633734</v>
      </c>
      <c r="M9" s="341"/>
      <c r="N9" s="344">
        <f>SUM(N5)</f>
        <v>1281825.99</v>
      </c>
      <c r="O9" s="342"/>
      <c r="P9">
        <v>2013</v>
      </c>
      <c r="Q9">
        <v>1.0209999999999999</v>
      </c>
      <c r="R9">
        <v>6.0461577999999987</v>
      </c>
      <c r="S9">
        <v>5.7334254999999983</v>
      </c>
      <c r="T9">
        <v>3.9612757999999992</v>
      </c>
      <c r="U9" t="s">
        <v>80</v>
      </c>
    </row>
    <row r="10" spans="1:21">
      <c r="A10" s="93"/>
      <c r="B10" s="113"/>
      <c r="C10" s="93"/>
      <c r="D10" s="93"/>
      <c r="E10" s="93"/>
      <c r="F10" s="341"/>
      <c r="G10" s="341"/>
      <c r="H10" s="341"/>
      <c r="I10" s="341"/>
      <c r="J10" s="341"/>
      <c r="K10" s="341"/>
      <c r="L10" s="341"/>
      <c r="M10" s="341"/>
      <c r="N10" s="341"/>
      <c r="O10" s="342"/>
      <c r="P10">
        <v>2014</v>
      </c>
      <c r="Q10">
        <v>1.0209999999999999</v>
      </c>
      <c r="R10">
        <v>6.1731271137999979</v>
      </c>
      <c r="S10">
        <v>5.8538274354999977</v>
      </c>
      <c r="T10">
        <v>4.1197268319999996</v>
      </c>
      <c r="U10" t="s">
        <v>80</v>
      </c>
    </row>
    <row r="11" spans="1:21">
      <c r="A11" s="93"/>
      <c r="B11" s="96" t="s">
        <v>87</v>
      </c>
      <c r="C11" s="93"/>
      <c r="D11" s="93"/>
      <c r="E11" s="93"/>
      <c r="F11" s="344">
        <f>SUM(F9)*T11</f>
        <v>839.92052951733638</v>
      </c>
      <c r="G11" s="341"/>
      <c r="H11" s="344">
        <f>SUM(H9)*S11</f>
        <v>0</v>
      </c>
      <c r="I11" s="341"/>
      <c r="J11" s="344"/>
      <c r="K11" s="341"/>
      <c r="L11" s="344">
        <f>SUM(F11)</f>
        <v>839.92052951733638</v>
      </c>
      <c r="M11" s="341"/>
      <c r="N11" s="344">
        <f>SUM(L11)</f>
        <v>839.92052951733638</v>
      </c>
      <c r="O11" s="342"/>
      <c r="R11">
        <v>1.0617312699999999</v>
      </c>
      <c r="S11">
        <v>1.0585382699999999</v>
      </c>
      <c r="T11">
        <v>1.0411972700000001</v>
      </c>
    </row>
    <row r="12" spans="1:21">
      <c r="A12" s="93"/>
      <c r="B12" s="113"/>
      <c r="C12" s="93"/>
      <c r="D12" s="93"/>
      <c r="E12" s="93"/>
      <c r="F12" s="341"/>
      <c r="G12" s="341"/>
      <c r="H12" s="341"/>
      <c r="I12" s="341"/>
      <c r="J12" s="341"/>
      <c r="K12" s="341"/>
      <c r="L12" s="341"/>
      <c r="M12" s="341"/>
      <c r="N12" s="341"/>
      <c r="O12" s="342"/>
    </row>
    <row r="13" spans="1:21">
      <c r="A13" s="93"/>
      <c r="B13" s="96" t="s">
        <v>88</v>
      </c>
      <c r="C13" s="93"/>
      <c r="D13" s="93"/>
      <c r="E13" s="93"/>
      <c r="F13" s="341"/>
      <c r="G13" s="341"/>
      <c r="H13" s="341"/>
      <c r="I13" s="341"/>
      <c r="J13" s="341"/>
      <c r="K13" s="341"/>
      <c r="L13" s="344">
        <f>SUM(N11)</f>
        <v>839.92052951733638</v>
      </c>
      <c r="M13" s="341"/>
      <c r="N13" s="341"/>
      <c r="O13" s="342"/>
    </row>
    <row r="14" spans="1:21">
      <c r="A14" s="93"/>
      <c r="B14" s="113"/>
      <c r="C14" s="93"/>
      <c r="D14" s="93"/>
      <c r="E14" s="93"/>
      <c r="F14" s="341"/>
      <c r="G14" s="341"/>
      <c r="H14" s="341"/>
      <c r="I14" s="341"/>
      <c r="J14" s="341"/>
      <c r="K14" s="341"/>
      <c r="L14" s="341"/>
      <c r="M14" s="341"/>
      <c r="N14" s="341"/>
      <c r="O14" s="342"/>
    </row>
    <row r="15" spans="1:21">
      <c r="A15" s="93"/>
      <c r="B15" s="96" t="s">
        <v>89</v>
      </c>
      <c r="C15" s="93"/>
      <c r="D15" s="93"/>
      <c r="E15" s="93"/>
      <c r="F15" s="341"/>
      <c r="G15" s="341"/>
      <c r="H15" s="341"/>
      <c r="I15" s="341"/>
      <c r="J15" s="341"/>
      <c r="K15" s="341"/>
      <c r="L15" s="343">
        <f>SUM('Worksheet 1 - Demographics'!E13)</f>
        <v>1589</v>
      </c>
      <c r="M15" s="341"/>
      <c r="N15" s="341"/>
      <c r="O15" s="342"/>
    </row>
    <row r="16" spans="1:21">
      <c r="A16" s="93"/>
      <c r="B16" s="113"/>
      <c r="C16" s="93"/>
      <c r="D16" s="93"/>
      <c r="E16" s="93"/>
      <c r="F16" s="341"/>
      <c r="G16" s="341"/>
      <c r="H16" s="341"/>
      <c r="I16" s="341"/>
      <c r="J16" s="341"/>
      <c r="K16" s="341"/>
      <c r="L16" s="341"/>
      <c r="M16" s="341"/>
      <c r="N16" s="341"/>
      <c r="O16" s="342"/>
    </row>
    <row r="17" spans="1:15">
      <c r="A17" s="93"/>
      <c r="B17" s="96" t="s">
        <v>90</v>
      </c>
      <c r="C17" s="104"/>
      <c r="D17" s="104"/>
      <c r="E17" s="104"/>
      <c r="F17" s="345"/>
      <c r="G17" s="341"/>
      <c r="H17" s="341"/>
      <c r="I17" s="341"/>
      <c r="J17" s="341"/>
      <c r="K17" s="341"/>
      <c r="L17" s="341"/>
      <c r="M17" s="341"/>
      <c r="N17" s="344">
        <f>SUM(L13)*L15</f>
        <v>1334633.7214030474</v>
      </c>
      <c r="O17" s="342"/>
    </row>
    <row r="18" spans="1:15" ht="11.25" customHeight="1" thickBot="1">
      <c r="A18" s="93"/>
      <c r="B18" s="61"/>
      <c r="C18" s="62"/>
      <c r="D18" s="62"/>
      <c r="E18" s="62"/>
      <c r="F18" s="346"/>
      <c r="G18" s="346"/>
      <c r="H18" s="346"/>
      <c r="I18" s="346"/>
      <c r="J18" s="346"/>
      <c r="K18" s="346"/>
      <c r="L18" s="346"/>
      <c r="M18" s="346"/>
      <c r="N18" s="346"/>
      <c r="O18" s="347"/>
    </row>
    <row r="20" spans="1:15" ht="15.75" thickBot="1">
      <c r="B20" s="375" t="s">
        <v>171</v>
      </c>
      <c r="C20" s="375"/>
      <c r="D20" s="375"/>
      <c r="E20" s="375"/>
      <c r="F20" s="375"/>
      <c r="G20" s="375"/>
      <c r="H20" s="375"/>
      <c r="I20" s="375"/>
      <c r="J20" s="375"/>
      <c r="K20" s="375"/>
      <c r="L20" s="375"/>
      <c r="M20" s="375"/>
      <c r="N20" s="375"/>
      <c r="O20" s="375"/>
    </row>
    <row r="21" spans="1:15">
      <c r="B21" s="113"/>
      <c r="C21" s="93"/>
      <c r="D21" s="93"/>
      <c r="E21" s="93"/>
      <c r="F21" s="154"/>
      <c r="G21" s="154"/>
      <c r="H21" s="154"/>
      <c r="I21" s="154"/>
      <c r="J21" s="154"/>
      <c r="K21" s="154"/>
      <c r="L21" s="154" t="s">
        <v>1</v>
      </c>
      <c r="M21" s="154"/>
      <c r="N21" s="154" t="s">
        <v>86</v>
      </c>
      <c r="O21" s="101"/>
    </row>
    <row r="22" spans="1:15">
      <c r="B22" s="113"/>
      <c r="C22" s="93"/>
      <c r="D22" s="93"/>
      <c r="E22" s="93"/>
      <c r="F22" s="93"/>
      <c r="G22" s="93"/>
      <c r="H22" s="93"/>
      <c r="I22" s="93"/>
      <c r="J22" s="93"/>
      <c r="K22" s="93"/>
      <c r="L22" s="93"/>
      <c r="M22" s="93"/>
      <c r="N22" s="93"/>
      <c r="O22" s="101"/>
    </row>
    <row r="23" spans="1:15">
      <c r="B23" s="96" t="s">
        <v>89</v>
      </c>
      <c r="C23" s="93"/>
      <c r="D23" s="93"/>
      <c r="E23" s="93"/>
      <c r="F23" s="93"/>
      <c r="G23" s="93"/>
      <c r="H23" s="93"/>
      <c r="I23" s="93"/>
      <c r="J23" s="93"/>
      <c r="K23" s="93"/>
      <c r="L23" s="315">
        <f>SUM('Worksheet 1 - Demographics'!G13)</f>
        <v>994</v>
      </c>
      <c r="M23" s="93"/>
      <c r="N23" s="93"/>
      <c r="O23" s="101"/>
    </row>
    <row r="24" spans="1:15">
      <c r="B24" s="113"/>
      <c r="C24" s="93"/>
      <c r="D24" s="93"/>
      <c r="E24" s="93"/>
      <c r="F24" s="93"/>
      <c r="G24" s="93"/>
      <c r="H24" s="93"/>
      <c r="I24" s="93"/>
      <c r="J24" s="93"/>
      <c r="K24" s="93"/>
      <c r="L24" s="93"/>
      <c r="M24" s="93"/>
      <c r="N24" s="93"/>
      <c r="O24" s="101"/>
    </row>
    <row r="25" spans="1:15">
      <c r="B25" s="96" t="s">
        <v>90</v>
      </c>
      <c r="C25" s="104"/>
      <c r="D25" s="104"/>
      <c r="E25" s="104"/>
      <c r="F25" s="104"/>
      <c r="G25" s="93"/>
      <c r="H25" s="93"/>
      <c r="I25" s="93"/>
      <c r="J25" s="93"/>
      <c r="K25" s="93"/>
      <c r="L25" s="93"/>
      <c r="M25" s="93"/>
      <c r="N25" s="348">
        <f>SUM(L13)*L23</f>
        <v>834881.00634023233</v>
      </c>
      <c r="O25" s="101"/>
    </row>
    <row r="26" spans="1:15" ht="15.75" thickBot="1">
      <c r="B26" s="61"/>
      <c r="C26" s="62"/>
      <c r="D26" s="62"/>
      <c r="E26" s="62"/>
      <c r="F26" s="62"/>
      <c r="G26" s="62"/>
      <c r="H26" s="62"/>
      <c r="I26" s="62"/>
      <c r="J26" s="62"/>
      <c r="K26" s="62"/>
      <c r="L26" s="62"/>
      <c r="M26" s="62"/>
      <c r="N26" s="62"/>
      <c r="O26" s="63"/>
    </row>
    <row r="35" ht="10.5" customHeight="1"/>
  </sheetData>
  <sheetProtection selectLockedCells="1"/>
  <mergeCells count="2">
    <mergeCell ref="B3:O3"/>
    <mergeCell ref="B20:O20"/>
  </mergeCells>
  <pageMargins left="0.45" right="0.45" top="0.75" bottom="0.75" header="0.3" footer="0.3"/>
  <pageSetup scale="70" orientation="landscape" verticalDpi="300" r:id="rId1"/>
  <headerFooter>
    <oddFooter>&amp;L&amp;A&amp;RPage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topLeftCell="A5" workbookViewId="0">
      <selection activeCell="N26" sqref="N26"/>
    </sheetView>
  </sheetViews>
  <sheetFormatPr defaultRowHeight="15"/>
  <cols>
    <col min="1" max="1" width="3.28515625" customWidth="1"/>
    <col min="2" max="2" width="10" customWidth="1"/>
    <col min="3" max="3" width="9.7109375" customWidth="1"/>
    <col min="5" max="5" width="9.42578125" customWidth="1"/>
    <col min="6" max="6" width="8.7109375" customWidth="1"/>
    <col min="7" max="7" width="8.42578125" customWidth="1"/>
    <col min="8" max="8" width="8.28515625" customWidth="1"/>
    <col min="9" max="9" width="9.140625" customWidth="1"/>
    <col min="10" max="10" width="13.85546875" customWidth="1"/>
    <col min="11" max="11" width="1.5703125" customWidth="1"/>
    <col min="12" max="12" width="14.28515625" customWidth="1"/>
    <col min="13" max="13" width="1.28515625" customWidth="1"/>
    <col min="14" max="14" width="15.42578125" customWidth="1"/>
    <col min="15" max="15" width="2.140625" customWidth="1"/>
  </cols>
  <sheetData>
    <row r="1" spans="2:14" ht="15.75">
      <c r="B1" s="69" t="s">
        <v>113</v>
      </c>
    </row>
    <row r="2" spans="2:14" ht="15.75" thickBot="1"/>
    <row r="3" spans="2:14" ht="15.75">
      <c r="B3" s="118" t="s">
        <v>109</v>
      </c>
      <c r="C3" s="190"/>
      <c r="D3" s="37"/>
      <c r="E3" s="37"/>
      <c r="F3" s="37"/>
      <c r="G3" s="37"/>
      <c r="H3" s="37"/>
      <c r="I3" s="37"/>
      <c r="J3" s="37"/>
      <c r="K3" s="37"/>
      <c r="L3" s="37"/>
      <c r="M3" s="37"/>
      <c r="N3" s="186" t="s">
        <v>222</v>
      </c>
    </row>
    <row r="4" spans="2:14" ht="15.75">
      <c r="B4" s="191"/>
      <c r="C4" s="93"/>
      <c r="D4" s="93"/>
      <c r="E4" s="132" t="s">
        <v>112</v>
      </c>
      <c r="F4" s="93"/>
      <c r="G4" s="93"/>
      <c r="H4" s="93"/>
      <c r="I4" s="93"/>
      <c r="J4" s="166" t="s">
        <v>155</v>
      </c>
      <c r="K4" s="93"/>
      <c r="L4" s="166" t="s">
        <v>221</v>
      </c>
      <c r="M4" s="93"/>
      <c r="N4" s="169" t="s">
        <v>156</v>
      </c>
    </row>
    <row r="5" spans="2:14">
      <c r="B5" s="113"/>
      <c r="C5" s="93"/>
      <c r="D5" s="93"/>
      <c r="E5" s="93"/>
      <c r="F5" s="93"/>
      <c r="G5" s="93"/>
      <c r="H5" s="93"/>
      <c r="I5" s="93"/>
      <c r="J5" s="98">
        <f>SUM('Worksheet 1 - Demographics'!C13)</f>
        <v>2037</v>
      </c>
      <c r="K5" s="93"/>
      <c r="L5" s="98">
        <f>SUM('Worksheet 1 - Demographics'!F13)</f>
        <v>200</v>
      </c>
      <c r="M5" s="93"/>
      <c r="N5" s="110">
        <f>SUM('Worksheet 1 - Demographics'!G13)</f>
        <v>994</v>
      </c>
    </row>
    <row r="6" spans="2:14">
      <c r="B6" s="119"/>
      <c r="C6" s="120"/>
      <c r="D6" s="120"/>
      <c r="E6" s="120"/>
      <c r="F6" s="104"/>
      <c r="G6" s="384" t="s">
        <v>108</v>
      </c>
      <c r="H6" s="384"/>
      <c r="I6" s="93"/>
      <c r="J6" s="384" t="s">
        <v>110</v>
      </c>
      <c r="K6" s="384"/>
      <c r="L6" s="384"/>
      <c r="M6" s="384"/>
      <c r="N6" s="385"/>
    </row>
    <row r="7" spans="2:14">
      <c r="B7" s="96" t="s">
        <v>91</v>
      </c>
      <c r="C7" s="98"/>
      <c r="D7" s="98"/>
      <c r="E7" s="93"/>
      <c r="F7" s="98" t="s">
        <v>1</v>
      </c>
      <c r="G7" s="384" t="s">
        <v>107</v>
      </c>
      <c r="H7" s="384"/>
      <c r="I7" s="93"/>
      <c r="J7" s="384" t="s">
        <v>111</v>
      </c>
      <c r="K7" s="384"/>
      <c r="L7" s="384"/>
      <c r="M7" s="384"/>
      <c r="N7" s="385"/>
    </row>
    <row r="8" spans="2:14">
      <c r="B8" s="96" t="s">
        <v>104</v>
      </c>
      <c r="C8" s="158"/>
      <c r="D8" s="158"/>
      <c r="E8" s="93"/>
      <c r="F8" s="93"/>
      <c r="G8" s="93"/>
      <c r="H8" s="93"/>
      <c r="I8" s="93"/>
      <c r="J8" s="93"/>
      <c r="K8" s="93"/>
      <c r="L8" s="93"/>
      <c r="M8" s="93"/>
      <c r="N8" s="101"/>
    </row>
    <row r="9" spans="2:14">
      <c r="B9" s="96" t="s">
        <v>92</v>
      </c>
      <c r="C9" s="93"/>
      <c r="D9" s="312">
        <f>SUM(Questionnaire!E23)</f>
        <v>568</v>
      </c>
      <c r="E9" s="93"/>
      <c r="F9" s="316">
        <f>SUM(C9)+D9</f>
        <v>568</v>
      </c>
      <c r="G9" s="387">
        <f>SUM(F9)/$F$15</f>
        <v>0.27884143348060875</v>
      </c>
      <c r="H9" s="387"/>
      <c r="I9" s="93"/>
      <c r="J9" s="276">
        <f>SUM(G9)*$J$5</f>
        <v>568</v>
      </c>
      <c r="K9" s="93"/>
      <c r="L9" s="262">
        <f>SUM(G9)*$L$5</f>
        <v>55.768286696121748</v>
      </c>
      <c r="M9" s="93"/>
      <c r="N9" s="265">
        <f>SUM(G9)*$N$5</f>
        <v>277.16838487972507</v>
      </c>
    </row>
    <row r="10" spans="2:14">
      <c r="B10" s="96" t="s">
        <v>93</v>
      </c>
      <c r="C10" s="93"/>
      <c r="D10" s="313">
        <f>SUM(Questionnaire!E24)</f>
        <v>462</v>
      </c>
      <c r="E10" s="93"/>
      <c r="F10" s="316">
        <f>SUM(C10)+D10</f>
        <v>462</v>
      </c>
      <c r="G10" s="387">
        <f>SUM(F10)/$F$15</f>
        <v>0.22680412371134021</v>
      </c>
      <c r="H10" s="387"/>
      <c r="I10" s="93"/>
      <c r="J10" s="276">
        <f>SUM(G10)*$J$5</f>
        <v>462</v>
      </c>
      <c r="K10" s="93"/>
      <c r="L10" s="262">
        <f>SUM(G10)*$L$5</f>
        <v>45.360824742268044</v>
      </c>
      <c r="M10" s="93"/>
      <c r="N10" s="265">
        <f>SUM(G10)*$N$5</f>
        <v>225.44329896907217</v>
      </c>
    </row>
    <row r="11" spans="2:14">
      <c r="B11" s="96" t="s">
        <v>94</v>
      </c>
      <c r="C11" s="93"/>
      <c r="D11" s="313">
        <f>SUM(Questionnaire!E25)</f>
        <v>448</v>
      </c>
      <c r="E11" s="93"/>
      <c r="F11" s="316">
        <f>SUM(C11)+D11</f>
        <v>448</v>
      </c>
      <c r="G11" s="387">
        <f>SUM(F11)/$F$15</f>
        <v>0.21993127147766323</v>
      </c>
      <c r="H11" s="387"/>
      <c r="I11" s="93"/>
      <c r="J11" s="276">
        <f>SUM(G11)*$J$5</f>
        <v>448</v>
      </c>
      <c r="K11" s="93"/>
      <c r="L11" s="262">
        <f>SUM(G11)*$L$5</f>
        <v>43.986254295532646</v>
      </c>
      <c r="M11" s="93"/>
      <c r="N11" s="265">
        <f>SUM(G11)*$N$5</f>
        <v>218.61168384879724</v>
      </c>
    </row>
    <row r="12" spans="2:14">
      <c r="B12" s="96" t="s">
        <v>95</v>
      </c>
      <c r="C12" s="93"/>
      <c r="D12" s="313">
        <f>SUM(Questionnaire!E26)</f>
        <v>399</v>
      </c>
      <c r="E12" s="93"/>
      <c r="F12" s="316">
        <f>SUM(C12)+D12</f>
        <v>399</v>
      </c>
      <c r="G12" s="387">
        <f>SUM(F12)/$F$15</f>
        <v>0.19587628865979381</v>
      </c>
      <c r="H12" s="387"/>
      <c r="I12" s="93"/>
      <c r="J12" s="276">
        <f>SUM(G12)*$J$5</f>
        <v>399</v>
      </c>
      <c r="K12" s="93"/>
      <c r="L12" s="262">
        <f>SUM(G12)*$L$5</f>
        <v>39.175257731958766</v>
      </c>
      <c r="M12" s="93"/>
      <c r="N12" s="265">
        <f>SUM(G12)*$N$5</f>
        <v>194.70103092783506</v>
      </c>
    </row>
    <row r="13" spans="2:14">
      <c r="B13" s="96" t="s">
        <v>105</v>
      </c>
      <c r="C13" s="93"/>
      <c r="D13" s="313">
        <f>SUM(Questionnaire!E27)</f>
        <v>160</v>
      </c>
      <c r="E13" s="93"/>
      <c r="F13" s="317">
        <f>SUM(C13)+D13</f>
        <v>160</v>
      </c>
      <c r="G13" s="388">
        <f>SUM(F13)/$F$15</f>
        <v>7.8546882670594009E-2</v>
      </c>
      <c r="H13" s="388"/>
      <c r="I13" s="93"/>
      <c r="J13" s="277">
        <f>SUM(G13)*$J$5</f>
        <v>160</v>
      </c>
      <c r="K13" s="93"/>
      <c r="L13" s="262">
        <f>SUM(G13)*$L$5</f>
        <v>15.709376534118801</v>
      </c>
      <c r="M13" s="93"/>
      <c r="N13" s="265">
        <f>SUM(G13)*$N$5</f>
        <v>78.075601374570439</v>
      </c>
    </row>
    <row r="14" spans="2:14">
      <c r="B14" s="96" t="s">
        <v>106</v>
      </c>
      <c r="C14" s="158"/>
      <c r="D14" s="158"/>
      <c r="E14" s="93"/>
      <c r="F14" s="170"/>
      <c r="G14" s="138"/>
      <c r="H14" s="138"/>
      <c r="I14" s="93"/>
      <c r="J14" s="206"/>
      <c r="K14" s="93"/>
      <c r="L14" s="168"/>
      <c r="M14" s="93"/>
      <c r="N14" s="207"/>
    </row>
    <row r="15" spans="2:14">
      <c r="B15" s="192" t="s">
        <v>1</v>
      </c>
      <c r="C15" s="93"/>
      <c r="D15" s="93"/>
      <c r="E15" s="93"/>
      <c r="F15" s="316">
        <f>SUM(F8:F14)</f>
        <v>2037</v>
      </c>
      <c r="G15" s="387">
        <f>SUM(G9:G13)</f>
        <v>1</v>
      </c>
      <c r="H15" s="387"/>
      <c r="I15" s="93"/>
      <c r="J15" s="276">
        <f>SUM(J9:J13)</f>
        <v>2037</v>
      </c>
      <c r="K15" s="93"/>
      <c r="L15" s="276">
        <f>SUM(L9:L14)</f>
        <v>200</v>
      </c>
      <c r="M15" s="93"/>
      <c r="N15" s="278">
        <f>SUM(N9:N14)</f>
        <v>994</v>
      </c>
    </row>
    <row r="16" spans="2:14" ht="15.75" thickBot="1">
      <c r="B16" s="122"/>
      <c r="C16" s="62"/>
      <c r="D16" s="62"/>
      <c r="E16" s="62"/>
      <c r="F16" s="167"/>
      <c r="G16" s="167"/>
      <c r="H16" s="167"/>
      <c r="I16" s="167"/>
      <c r="J16" s="167"/>
      <c r="K16" s="62"/>
      <c r="L16" s="62"/>
      <c r="M16" s="62"/>
      <c r="N16" s="63"/>
    </row>
    <row r="18" spans="2:10" ht="15.75" thickBot="1">
      <c r="B18" s="3" t="s">
        <v>220</v>
      </c>
    </row>
    <row r="19" spans="2:10">
      <c r="B19" s="112"/>
      <c r="C19" s="37"/>
      <c r="D19" s="37"/>
      <c r="E19" s="37"/>
      <c r="F19" s="37"/>
      <c r="G19" s="37"/>
      <c r="H19" s="37"/>
      <c r="I19" s="37"/>
      <c r="J19" s="38"/>
    </row>
    <row r="20" spans="2:10" ht="15.75" thickBot="1">
      <c r="B20" s="113"/>
      <c r="C20" s="93"/>
      <c r="D20" s="93"/>
      <c r="E20" s="375" t="s">
        <v>96</v>
      </c>
      <c r="F20" s="375"/>
      <c r="G20" s="375"/>
      <c r="H20" s="375"/>
      <c r="I20" s="375"/>
      <c r="J20" s="101"/>
    </row>
    <row r="21" spans="2:10">
      <c r="B21" s="386" t="s">
        <v>97</v>
      </c>
      <c r="C21" s="384"/>
      <c r="D21" s="150"/>
      <c r="E21" s="193" t="s">
        <v>92</v>
      </c>
      <c r="F21" s="193" t="s">
        <v>93</v>
      </c>
      <c r="G21" s="193" t="s">
        <v>94</v>
      </c>
      <c r="H21" s="193" t="s">
        <v>95</v>
      </c>
      <c r="I21" s="193" t="s">
        <v>105</v>
      </c>
      <c r="J21" s="194" t="s">
        <v>1</v>
      </c>
    </row>
    <row r="22" spans="2:10">
      <c r="B22" s="141" t="s">
        <v>140</v>
      </c>
      <c r="C22" s="140" t="s">
        <v>6</v>
      </c>
      <c r="D22" s="195" t="s">
        <v>54</v>
      </c>
      <c r="E22" s="279">
        <f>SUM(J9)</f>
        <v>568</v>
      </c>
      <c r="F22" s="279">
        <f>SUM(J10)</f>
        <v>462</v>
      </c>
      <c r="G22" s="279">
        <f>SUM(J11)</f>
        <v>448</v>
      </c>
      <c r="H22" s="279">
        <f>SUM(J12)</f>
        <v>399</v>
      </c>
      <c r="I22" s="279">
        <f>SUM(J13)</f>
        <v>160</v>
      </c>
      <c r="J22" s="280">
        <f>SUM(E22:I22)</f>
        <v>2037</v>
      </c>
    </row>
    <row r="23" spans="2:10">
      <c r="B23" s="325" t="s">
        <v>260</v>
      </c>
      <c r="C23" s="188">
        <f>SUM('WS 2 - Estimating Poverty Level'!B50)</f>
        <v>0.20004879189238914</v>
      </c>
      <c r="D23" s="195"/>
      <c r="E23" s="281">
        <f>SUM($C$23)*E22</f>
        <v>113.62771379487702</v>
      </c>
      <c r="F23" s="281">
        <f t="shared" ref="F23:I23" si="0">SUM($C$23)*F22</f>
        <v>92.422541854283779</v>
      </c>
      <c r="G23" s="281">
        <f t="shared" si="0"/>
        <v>89.621858767790329</v>
      </c>
      <c r="H23" s="281">
        <f t="shared" si="0"/>
        <v>79.819467965063268</v>
      </c>
      <c r="I23" s="281">
        <f t="shared" si="0"/>
        <v>32.007806702782261</v>
      </c>
      <c r="J23" s="282">
        <f>SUM(E23:I23)</f>
        <v>407.49938908479669</v>
      </c>
    </row>
    <row r="24" spans="2:10">
      <c r="B24" s="42" t="s">
        <v>264</v>
      </c>
      <c r="C24" s="188">
        <f>SUM('WS 2 - Estimating Poverty Level'!B51:C51)</f>
        <v>0.28004352840318436</v>
      </c>
      <c r="D24" s="142"/>
      <c r="E24" s="281">
        <f>SUM($C$24)*E22</f>
        <v>159.06472413300872</v>
      </c>
      <c r="F24" s="281">
        <f>SUM($C$24)*F22</f>
        <v>129.38011012227116</v>
      </c>
      <c r="G24" s="281">
        <f>SUM($C$24)*G22</f>
        <v>125.45950072462659</v>
      </c>
      <c r="H24" s="281">
        <f>SUM($C$24)*H22</f>
        <v>111.73736783287056</v>
      </c>
      <c r="I24" s="281">
        <f>SUM($C$24)*I22</f>
        <v>44.806964544509498</v>
      </c>
      <c r="J24" s="282">
        <f>SUM(E24:I24)</f>
        <v>570.44866735728647</v>
      </c>
    </row>
    <row r="25" spans="2:10">
      <c r="B25" s="42" t="s">
        <v>98</v>
      </c>
      <c r="C25" s="188">
        <f>SUM('WS 2 - Estimating Poverty Level'!D51)</f>
        <v>3.9322615430480407E-2</v>
      </c>
      <c r="D25" s="142"/>
      <c r="E25" s="281">
        <f>SUM($C$25)*E22</f>
        <v>22.335245564512871</v>
      </c>
      <c r="F25" s="281">
        <f>SUM($C$25)*F22</f>
        <v>18.167048328881947</v>
      </c>
      <c r="G25" s="281">
        <f>SUM($C$25)*G22</f>
        <v>17.61653171285522</v>
      </c>
      <c r="H25" s="281">
        <f>SUM($C$25)*H22</f>
        <v>15.689723556761683</v>
      </c>
      <c r="I25" s="281">
        <f>SUM($C$25)*I22</f>
        <v>6.291618468876865</v>
      </c>
      <c r="J25" s="282">
        <f t="shared" ref="J25:J30" si="1">SUM(E25:I25)</f>
        <v>80.100167631888581</v>
      </c>
    </row>
    <row r="26" spans="2:10">
      <c r="B26" s="42" t="s">
        <v>99</v>
      </c>
      <c r="C26" s="188">
        <f>SUM('WS 2 - Estimating Poverty Level'!E51:F51)</f>
        <v>9.6765386145092641E-2</v>
      </c>
      <c r="D26" s="142"/>
      <c r="E26" s="281">
        <f>SUM($C$26)*E22</f>
        <v>54.962739330412617</v>
      </c>
      <c r="F26" s="281">
        <f>SUM($C$26)*F22</f>
        <v>44.705608399032798</v>
      </c>
      <c r="G26" s="281">
        <f>SUM($C$26)*G22</f>
        <v>43.350892993001501</v>
      </c>
      <c r="H26" s="281">
        <f>SUM($C$26)*H22</f>
        <v>38.609389071891961</v>
      </c>
      <c r="I26" s="281">
        <f>SUM($C$26)*I22</f>
        <v>15.482461783214823</v>
      </c>
      <c r="J26" s="282">
        <f t="shared" si="1"/>
        <v>197.11109157755371</v>
      </c>
    </row>
    <row r="27" spans="2:10">
      <c r="B27" s="42" t="s">
        <v>100</v>
      </c>
      <c r="C27" s="188">
        <f>SUM('WS 2 - Estimating Poverty Level'!G51:H51)</f>
        <v>8.0270470045417888E-2</v>
      </c>
      <c r="D27" s="142"/>
      <c r="E27" s="281">
        <f>SUM($C$27)*E22</f>
        <v>45.593626985797357</v>
      </c>
      <c r="F27" s="281">
        <f>SUM($C$27)*F22</f>
        <v>37.084957160983066</v>
      </c>
      <c r="G27" s="281">
        <f>SUM($C$27)*G22</f>
        <v>35.961170580347215</v>
      </c>
      <c r="H27" s="281">
        <f>SUM($C$27)*H22</f>
        <v>32.027917548121735</v>
      </c>
      <c r="I27" s="281">
        <f>SUM($C$27)*I22</f>
        <v>12.843275207266862</v>
      </c>
      <c r="J27" s="282">
        <f t="shared" si="1"/>
        <v>163.51094748251623</v>
      </c>
    </row>
    <row r="28" spans="2:10">
      <c r="B28" s="42" t="s">
        <v>101</v>
      </c>
      <c r="C28" s="188">
        <f>SUM('WS 2 - Estimating Poverty Level'!I51:J51)</f>
        <v>8.4142255002184169E-2</v>
      </c>
      <c r="D28" s="142"/>
      <c r="E28" s="281">
        <f>SUM($C$28)*E22</f>
        <v>47.792800841240606</v>
      </c>
      <c r="F28" s="281">
        <f>SUM($C$28)*F22</f>
        <v>38.873721811009084</v>
      </c>
      <c r="G28" s="281">
        <f>SUM($C$28)*G22</f>
        <v>37.695730240978506</v>
      </c>
      <c r="H28" s="281">
        <f>SUM($C$28)*H22</f>
        <v>33.572759745871487</v>
      </c>
      <c r="I28" s="281">
        <f>SUM($C$28)*I22</f>
        <v>13.462760800349468</v>
      </c>
      <c r="J28" s="282">
        <f t="shared" si="1"/>
        <v>171.39777343944914</v>
      </c>
    </row>
    <row r="29" spans="2:10">
      <c r="B29" s="42" t="s">
        <v>102</v>
      </c>
      <c r="C29" s="188">
        <f>SUM('WS 2 - Estimating Poverty Level'!K52:N52)</f>
        <v>0.13897119076436037</v>
      </c>
      <c r="D29" s="142"/>
      <c r="E29" s="281">
        <f>SUM($C$29)*E22</f>
        <v>78.935636354156699</v>
      </c>
      <c r="F29" s="281">
        <f>SUM($C$29)*F22</f>
        <v>64.204690133134491</v>
      </c>
      <c r="G29" s="281">
        <f>SUM($C$29)*G22</f>
        <v>62.259093462433448</v>
      </c>
      <c r="H29" s="281">
        <f>SUM($C$29)*H22</f>
        <v>55.449505114979793</v>
      </c>
      <c r="I29" s="281">
        <f>SUM($C$29)*I22</f>
        <v>22.23539052229766</v>
      </c>
      <c r="J29" s="282">
        <f t="shared" si="1"/>
        <v>283.0843155870021</v>
      </c>
    </row>
    <row r="30" spans="2:10" ht="15.75" thickBot="1">
      <c r="B30" s="42" t="s">
        <v>103</v>
      </c>
      <c r="C30" s="189">
        <f>SUM('WS 2 - Estimating Poverty Level'!O50)</f>
        <v>0.28048455420928015</v>
      </c>
      <c r="D30" s="143"/>
      <c r="E30" s="283">
        <f>SUM($C$30)*E22</f>
        <v>159.31522679087112</v>
      </c>
      <c r="F30" s="283">
        <f>SUM($C$30)*F22</f>
        <v>129.58386404468743</v>
      </c>
      <c r="G30" s="283">
        <f>SUM($C$30)*G22</f>
        <v>125.6570802857575</v>
      </c>
      <c r="H30" s="283">
        <f>SUM($C$30)*H22</f>
        <v>111.91333712950278</v>
      </c>
      <c r="I30" s="283">
        <f>SUM($C$30)*I22</f>
        <v>44.877528673484825</v>
      </c>
      <c r="J30" s="284">
        <f t="shared" si="1"/>
        <v>571.34703692430367</v>
      </c>
    </row>
    <row r="31" spans="2:10" ht="15.75" thickBot="1">
      <c r="B31" s="61"/>
      <c r="C31" s="187">
        <f t="shared" ref="C31:I31" si="2">SUM(C24:C30)</f>
        <v>1</v>
      </c>
      <c r="D31" s="144"/>
      <c r="E31" s="285">
        <f t="shared" si="2"/>
        <v>568</v>
      </c>
      <c r="F31" s="285">
        <f t="shared" si="2"/>
        <v>462</v>
      </c>
      <c r="G31" s="285">
        <f t="shared" si="2"/>
        <v>448</v>
      </c>
      <c r="H31" s="285">
        <f t="shared" si="2"/>
        <v>399</v>
      </c>
      <c r="I31" s="285">
        <f t="shared" si="2"/>
        <v>160</v>
      </c>
      <c r="J31" s="286">
        <f>SUM(E31:I31)</f>
        <v>2037</v>
      </c>
    </row>
    <row r="33" spans="2:10" ht="15.75" thickBot="1">
      <c r="B33" s="3" t="s">
        <v>223</v>
      </c>
    </row>
    <row r="34" spans="2:10">
      <c r="B34" s="112"/>
      <c r="C34" s="37"/>
      <c r="D34" s="37"/>
      <c r="E34" s="37"/>
      <c r="F34" s="37"/>
      <c r="G34" s="37"/>
      <c r="H34" s="37"/>
      <c r="I34" s="37"/>
      <c r="J34" s="38"/>
    </row>
    <row r="35" spans="2:10" ht="15.75" thickBot="1">
      <c r="B35" s="113"/>
      <c r="C35" s="93"/>
      <c r="D35" s="93"/>
      <c r="E35" s="375" t="s">
        <v>96</v>
      </c>
      <c r="F35" s="375"/>
      <c r="G35" s="375"/>
      <c r="H35" s="375"/>
      <c r="I35" s="375"/>
      <c r="J35" s="101"/>
    </row>
    <row r="36" spans="2:10">
      <c r="B36" s="386" t="s">
        <v>97</v>
      </c>
      <c r="C36" s="384"/>
      <c r="D36" s="150"/>
      <c r="E36" s="193" t="s">
        <v>92</v>
      </c>
      <c r="F36" s="193" t="s">
        <v>93</v>
      </c>
      <c r="G36" s="193" t="s">
        <v>94</v>
      </c>
      <c r="H36" s="193" t="s">
        <v>95</v>
      </c>
      <c r="I36" s="193" t="s">
        <v>105</v>
      </c>
      <c r="J36" s="194" t="s">
        <v>1</v>
      </c>
    </row>
    <row r="37" spans="2:10">
      <c r="B37" s="165" t="s">
        <v>140</v>
      </c>
      <c r="C37" s="164" t="s">
        <v>6</v>
      </c>
      <c r="D37" s="195" t="s">
        <v>54</v>
      </c>
      <c r="E37" s="279">
        <f>SUM(L9)</f>
        <v>55.768286696121748</v>
      </c>
      <c r="F37" s="279">
        <f>SUM(L10)</f>
        <v>45.360824742268044</v>
      </c>
      <c r="G37" s="279">
        <f>SUM(L11)</f>
        <v>43.986254295532646</v>
      </c>
      <c r="H37" s="279">
        <f>SUM(L12)</f>
        <v>39.175257731958766</v>
      </c>
      <c r="I37" s="279">
        <f>SUM(L13)</f>
        <v>15.709376534118801</v>
      </c>
      <c r="J37" s="280">
        <f>SUM(E37:I37)</f>
        <v>200</v>
      </c>
    </row>
    <row r="38" spans="2:10">
      <c r="B38" s="325" t="s">
        <v>260</v>
      </c>
      <c r="C38" s="188">
        <f>SUM('WS 2 - Estimating Poverty Level'!B50)</f>
        <v>0.20004879189238914</v>
      </c>
      <c r="D38" s="195"/>
      <c r="E38" s="281">
        <f>SUM($C$38)*E37</f>
        <v>11.156378379467553</v>
      </c>
      <c r="F38" s="281">
        <f t="shared" ref="F38:I38" si="3">SUM($C$38)*F37</f>
        <v>9.0743781889331157</v>
      </c>
      <c r="G38" s="281">
        <f t="shared" si="3"/>
        <v>8.7993970316927186</v>
      </c>
      <c r="H38" s="281">
        <f t="shared" si="3"/>
        <v>7.836962981351328</v>
      </c>
      <c r="I38" s="281">
        <f t="shared" si="3"/>
        <v>3.1426417970331135</v>
      </c>
      <c r="J38" s="282">
        <f>SUM(E38:I38)</f>
        <v>40.009758378477827</v>
      </c>
    </row>
    <row r="39" spans="2:10">
      <c r="B39" s="165" t="s">
        <v>264</v>
      </c>
      <c r="C39" s="188">
        <f>SUM('WS 2 - Estimating Poverty Level'!B51:C51)</f>
        <v>0.28004352840318436</v>
      </c>
      <c r="D39" s="142"/>
      <c r="E39" s="281">
        <f>SUM($C$24)*E37</f>
        <v>15.617547779382299</v>
      </c>
      <c r="F39" s="281">
        <f>SUM($C$24)*F37</f>
        <v>12.703005412103209</v>
      </c>
      <c r="G39" s="281">
        <f>SUM($C$24)*G37</f>
        <v>12.318065854160686</v>
      </c>
      <c r="H39" s="281">
        <f>SUM($C$24)*H37</f>
        <v>10.970777401361863</v>
      </c>
      <c r="I39" s="281">
        <f>SUM($C$24)*I37</f>
        <v>4.3993092336288164</v>
      </c>
      <c r="J39" s="282">
        <f>SUM(E39:I39)</f>
        <v>56.008705680636879</v>
      </c>
    </row>
    <row r="40" spans="2:10">
      <c r="B40" s="165" t="s">
        <v>98</v>
      </c>
      <c r="C40" s="188">
        <f>SUM('WS 2 - Estimating Poverty Level'!D51)</f>
        <v>3.9322615430480407E-2</v>
      </c>
      <c r="D40" s="142"/>
      <c r="E40" s="281">
        <f>SUM($C$25)*E37</f>
        <v>2.1929548909683723</v>
      </c>
      <c r="F40" s="281">
        <f>SUM($C$25)*F37</f>
        <v>1.7837062669496269</v>
      </c>
      <c r="G40" s="281">
        <f>SUM($C$25)*G37</f>
        <v>1.729654561890547</v>
      </c>
      <c r="H40" s="281">
        <f>SUM($C$25)*H37</f>
        <v>1.5404735941837686</v>
      </c>
      <c r="I40" s="281">
        <f>SUM($C$25)*I37</f>
        <v>0.61773377210376679</v>
      </c>
      <c r="J40" s="282">
        <f t="shared" ref="J40:J45" si="4">SUM(E40:I40)</f>
        <v>7.8645230860960815</v>
      </c>
    </row>
    <row r="41" spans="2:10">
      <c r="B41" s="165" t="s">
        <v>99</v>
      </c>
      <c r="C41" s="188">
        <f>SUM('WS 2 - Estimating Poverty Level'!E51:F51)</f>
        <v>9.6765386145092641E-2</v>
      </c>
      <c r="D41" s="142"/>
      <c r="E41" s="281">
        <f>SUM($C$26)*E37</f>
        <v>5.396439796800454</v>
      </c>
      <c r="F41" s="281">
        <f>SUM($C$26)*F37</f>
        <v>4.3893577220454398</v>
      </c>
      <c r="G41" s="281">
        <f>SUM($C$26)*G37</f>
        <v>4.2563468819834567</v>
      </c>
      <c r="H41" s="281">
        <f>SUM($C$26)*H37</f>
        <v>3.7908089417665161</v>
      </c>
      <c r="I41" s="281">
        <f>SUM($C$26)*I37</f>
        <v>1.5201238864226629</v>
      </c>
      <c r="J41" s="282">
        <f t="shared" si="4"/>
        <v>19.353077229018531</v>
      </c>
    </row>
    <row r="42" spans="2:10">
      <c r="B42" s="165" t="s">
        <v>100</v>
      </c>
      <c r="C42" s="188">
        <f>SUM('WS 2 - Estimating Poverty Level'!G51:H51)</f>
        <v>8.0270470045417888E-2</v>
      </c>
      <c r="D42" s="142"/>
      <c r="E42" s="281">
        <f>SUM($C$27)*E37</f>
        <v>4.476546586725318</v>
      </c>
      <c r="F42" s="281">
        <f>SUM($C$27)*F37</f>
        <v>3.6411347237096776</v>
      </c>
      <c r="G42" s="281">
        <f>SUM($C$27)*G37</f>
        <v>3.5307973078396873</v>
      </c>
      <c r="H42" s="281">
        <f>SUM($C$27)*H37</f>
        <v>3.1446163522947215</v>
      </c>
      <c r="I42" s="281">
        <f>SUM($C$27)*I37</f>
        <v>1.2609990385141738</v>
      </c>
      <c r="J42" s="282">
        <f t="shared" si="4"/>
        <v>16.054094009083581</v>
      </c>
    </row>
    <row r="43" spans="2:10">
      <c r="B43" s="165" t="s">
        <v>101</v>
      </c>
      <c r="C43" s="188">
        <f>SUM('WS 2 - Estimating Poverty Level'!I51:J51)</f>
        <v>8.4142255002184169E-2</v>
      </c>
      <c r="D43" s="142"/>
      <c r="E43" s="281">
        <f>SUM($C$28)*E37</f>
        <v>4.6924694002199914</v>
      </c>
      <c r="F43" s="281">
        <f>SUM($C$28)*F37</f>
        <v>3.8167620825733026</v>
      </c>
      <c r="G43" s="281">
        <f>SUM($C$28)*G37</f>
        <v>3.7011026255256265</v>
      </c>
      <c r="H43" s="281">
        <f>SUM($C$28)*H37</f>
        <v>3.2962945258587615</v>
      </c>
      <c r="I43" s="281">
        <f>SUM($C$28)*I37</f>
        <v>1.3218223662591524</v>
      </c>
      <c r="J43" s="282">
        <f t="shared" si="4"/>
        <v>16.828451000436832</v>
      </c>
    </row>
    <row r="44" spans="2:10">
      <c r="B44" s="165" t="s">
        <v>102</v>
      </c>
      <c r="C44" s="188">
        <f>SUM('WS 2 - Estimating Poverty Level'!K52:N52)</f>
        <v>0.13897119076436037</v>
      </c>
      <c r="D44" s="142"/>
      <c r="E44" s="281">
        <f>SUM($C$29)*E37</f>
        <v>7.7501852090482766</v>
      </c>
      <c r="F44" s="281">
        <f>SUM($C$29)*F37</f>
        <v>6.3038478284864503</v>
      </c>
      <c r="G44" s="281">
        <f>SUM($C$29)*G37</f>
        <v>6.1128221367141338</v>
      </c>
      <c r="H44" s="281">
        <f>SUM($C$29)*H37</f>
        <v>5.4442322155110254</v>
      </c>
      <c r="I44" s="281">
        <f>SUM($C$29)*I37</f>
        <v>2.1831507631121903</v>
      </c>
      <c r="J44" s="282">
        <f t="shared" si="4"/>
        <v>27.794238152872076</v>
      </c>
    </row>
    <row r="45" spans="2:10" ht="15.75" thickBot="1">
      <c r="B45" s="165" t="s">
        <v>103</v>
      </c>
      <c r="C45" s="189">
        <f>SUM('WS 2 - Estimating Poverty Level'!O50)</f>
        <v>0.28048455420928015</v>
      </c>
      <c r="D45" s="143"/>
      <c r="E45" s="283">
        <f>SUM($C$30)*E37</f>
        <v>15.642143032977037</v>
      </c>
      <c r="F45" s="283">
        <f>SUM($C$30)*F37</f>
        <v>12.723010706400338</v>
      </c>
      <c r="G45" s="283">
        <f>SUM($C$30)*G37</f>
        <v>12.337464927418509</v>
      </c>
      <c r="H45" s="283">
        <f>SUM($C$30)*H37</f>
        <v>10.98805470098211</v>
      </c>
      <c r="I45" s="283">
        <f>SUM($C$30)*I37</f>
        <v>4.4062374740780381</v>
      </c>
      <c r="J45" s="284">
        <f t="shared" si="4"/>
        <v>56.096910841856037</v>
      </c>
    </row>
    <row r="46" spans="2:10" ht="15.75" thickBot="1">
      <c r="B46" s="61"/>
      <c r="C46" s="187">
        <f>SUM(C39:C45)</f>
        <v>1</v>
      </c>
      <c r="D46" s="144"/>
      <c r="E46" s="285">
        <f>SUM(E39:E45)</f>
        <v>55.768286696121748</v>
      </c>
      <c r="F46" s="285">
        <f>SUM(F39:F45)</f>
        <v>45.360824742268044</v>
      </c>
      <c r="G46" s="285">
        <f>SUM(G39:G45)</f>
        <v>43.986254295532646</v>
      </c>
      <c r="H46" s="285">
        <f>SUM(H39:H45)</f>
        <v>39.175257731958766</v>
      </c>
      <c r="I46" s="285">
        <f>SUM(I39:I45)</f>
        <v>15.709376534118801</v>
      </c>
      <c r="J46" s="286">
        <f>SUM(E46:I46)</f>
        <v>200</v>
      </c>
    </row>
    <row r="48" spans="2:10" ht="15.75" thickBot="1">
      <c r="B48" s="3" t="s">
        <v>224</v>
      </c>
    </row>
    <row r="49" spans="2:10">
      <c r="B49" s="112"/>
      <c r="C49" s="37"/>
      <c r="D49" s="37"/>
      <c r="E49" s="37"/>
      <c r="F49" s="37"/>
      <c r="G49" s="37"/>
      <c r="H49" s="37"/>
      <c r="I49" s="37"/>
      <c r="J49" s="38"/>
    </row>
    <row r="50" spans="2:10" ht="15.75" thickBot="1">
      <c r="B50" s="113"/>
      <c r="C50" s="93"/>
      <c r="D50" s="93"/>
      <c r="E50" s="375" t="s">
        <v>96</v>
      </c>
      <c r="F50" s="375"/>
      <c r="G50" s="375"/>
      <c r="H50" s="375"/>
      <c r="I50" s="375"/>
      <c r="J50" s="101"/>
    </row>
    <row r="51" spans="2:10">
      <c r="B51" s="386" t="s">
        <v>97</v>
      </c>
      <c r="C51" s="384"/>
      <c r="D51" s="150"/>
      <c r="E51" s="193" t="s">
        <v>92</v>
      </c>
      <c r="F51" s="193" t="s">
        <v>93</v>
      </c>
      <c r="G51" s="193" t="s">
        <v>94</v>
      </c>
      <c r="H51" s="193" t="s">
        <v>95</v>
      </c>
      <c r="I51" s="193" t="s">
        <v>105</v>
      </c>
      <c r="J51" s="194" t="s">
        <v>1</v>
      </c>
    </row>
    <row r="52" spans="2:10">
      <c r="B52" s="165" t="s">
        <v>140</v>
      </c>
      <c r="C52" s="164" t="s">
        <v>6</v>
      </c>
      <c r="D52" s="195" t="s">
        <v>54</v>
      </c>
      <c r="E52" s="279">
        <f>SUM(N9)</f>
        <v>277.16838487972507</v>
      </c>
      <c r="F52" s="279">
        <f>SUM(N10)</f>
        <v>225.44329896907217</v>
      </c>
      <c r="G52" s="279">
        <f>SUM(N11)</f>
        <v>218.61168384879724</v>
      </c>
      <c r="H52" s="279">
        <f>SUM(N12)</f>
        <v>194.70103092783506</v>
      </c>
      <c r="I52" s="279">
        <f>SUM(N13)</f>
        <v>78.075601374570439</v>
      </c>
      <c r="J52" s="280">
        <f>SUM(E52:I52)</f>
        <v>994</v>
      </c>
    </row>
    <row r="53" spans="2:10">
      <c r="B53" s="325" t="s">
        <v>260</v>
      </c>
      <c r="C53" s="188">
        <f>SUM('WS 2 - Estimating Poverty Level'!B50)</f>
        <v>0.20004879189238914</v>
      </c>
      <c r="D53" s="195"/>
      <c r="E53" s="281">
        <f>SUM($C$53)*E52</f>
        <v>55.447200545953734</v>
      </c>
      <c r="F53" s="281">
        <f t="shared" ref="F53:I53" si="5">SUM($C$53)*F52</f>
        <v>45.099659598997583</v>
      </c>
      <c r="G53" s="281">
        <f t="shared" si="5"/>
        <v>43.733003247512805</v>
      </c>
      <c r="H53" s="281">
        <f t="shared" si="5"/>
        <v>38.949706017316096</v>
      </c>
      <c r="I53" s="281">
        <f t="shared" si="5"/>
        <v>15.618929731254573</v>
      </c>
      <c r="J53" s="282">
        <f>SUM(E53:I53)</f>
        <v>198.84849914103481</v>
      </c>
    </row>
    <row r="54" spans="2:10">
      <c r="B54" s="165" t="s">
        <v>264</v>
      </c>
      <c r="C54" s="188">
        <f>SUM('WS 2 - Estimating Poverty Level'!B51:C51)</f>
        <v>0.28004352840318436</v>
      </c>
      <c r="D54" s="142"/>
      <c r="E54" s="281">
        <f>SUM($C$24)*E52</f>
        <v>77.619212463530019</v>
      </c>
      <c r="F54" s="281">
        <f>SUM($C$24)*F52</f>
        <v>63.133936898152946</v>
      </c>
      <c r="G54" s="281">
        <f>SUM($C$24)*G52</f>
        <v>61.22078729517861</v>
      </c>
      <c r="H54" s="281">
        <f>SUM($C$24)*H52</f>
        <v>54.524763684768452</v>
      </c>
      <c r="I54" s="281">
        <f>SUM($C$24)*I52</f>
        <v>21.864566891135215</v>
      </c>
      <c r="J54" s="282">
        <f>SUM(E54:I54)</f>
        <v>278.36326723276522</v>
      </c>
    </row>
    <row r="55" spans="2:10">
      <c r="B55" s="165" t="s">
        <v>98</v>
      </c>
      <c r="C55" s="188">
        <f>SUM('WS 2 - Estimating Poverty Level'!D51)</f>
        <v>3.9322615430480407E-2</v>
      </c>
      <c r="D55" s="142"/>
      <c r="E55" s="281">
        <f>SUM($C$25)*E52</f>
        <v>10.898985808112808</v>
      </c>
      <c r="F55" s="281">
        <f>SUM($C$25)*F52</f>
        <v>8.8650201467396457</v>
      </c>
      <c r="G55" s="281">
        <f>SUM($C$25)*G52</f>
        <v>8.5963831725960187</v>
      </c>
      <c r="H55" s="281">
        <f>SUM($C$25)*H52</f>
        <v>7.6561537630933296</v>
      </c>
      <c r="I55" s="281">
        <f>SUM($C$25)*I52</f>
        <v>3.0701368473557209</v>
      </c>
      <c r="J55" s="282">
        <f t="shared" ref="J55:J60" si="6">SUM(E55:I55)</f>
        <v>39.086679737897519</v>
      </c>
    </row>
    <row r="56" spans="2:10">
      <c r="B56" s="165" t="s">
        <v>99</v>
      </c>
      <c r="C56" s="188">
        <f>SUM('WS 2 - Estimating Poverty Level'!E51:F51)</f>
        <v>9.6765386145092641E-2</v>
      </c>
      <c r="D56" s="142"/>
      <c r="E56" s="281">
        <f>SUM($C$26)*E52</f>
        <v>26.820305790098253</v>
      </c>
      <c r="F56" s="281">
        <f>SUM($C$26)*F52</f>
        <v>21.815107878565836</v>
      </c>
      <c r="G56" s="281">
        <f>SUM($C$26)*G52</f>
        <v>21.154044003457777</v>
      </c>
      <c r="H56" s="281">
        <f>SUM($C$26)*H52</f>
        <v>18.840320440579585</v>
      </c>
      <c r="I56" s="281">
        <f>SUM($C$26)*I52</f>
        <v>7.5550157155206348</v>
      </c>
      <c r="J56" s="282">
        <f t="shared" si="6"/>
        <v>96.184793828222098</v>
      </c>
    </row>
    <row r="57" spans="2:10">
      <c r="B57" s="165" t="s">
        <v>100</v>
      </c>
      <c r="C57" s="188">
        <f>SUM('WS 2 - Estimating Poverty Level'!G51:H51)</f>
        <v>8.0270470045417888E-2</v>
      </c>
      <c r="D57" s="142"/>
      <c r="E57" s="281">
        <f>SUM($C$27)*E52</f>
        <v>22.248436536024826</v>
      </c>
      <c r="F57" s="281">
        <f>SUM($C$27)*F52</f>
        <v>18.096439576837099</v>
      </c>
      <c r="G57" s="281">
        <f>SUM($C$27)*G52</f>
        <v>17.548062619963243</v>
      </c>
      <c r="H57" s="281">
        <f>SUM($C$27)*H52</f>
        <v>15.628743270904767</v>
      </c>
      <c r="I57" s="281">
        <f>SUM($C$27)*I52</f>
        <v>6.2671652214154445</v>
      </c>
      <c r="J57" s="282">
        <f t="shared" si="6"/>
        <v>79.788847225145375</v>
      </c>
    </row>
    <row r="58" spans="2:10">
      <c r="B58" s="165" t="s">
        <v>101</v>
      </c>
      <c r="C58" s="188">
        <f>SUM('WS 2 - Estimating Poverty Level'!I51:J51)</f>
        <v>8.4142255002184169E-2</v>
      </c>
      <c r="D58" s="142"/>
      <c r="E58" s="281">
        <f>SUM($C$28)*E52</f>
        <v>23.321572919093352</v>
      </c>
      <c r="F58" s="281">
        <f>SUM($C$28)*F52</f>
        <v>18.969307550389313</v>
      </c>
      <c r="G58" s="281">
        <f>SUM($C$28)*G52</f>
        <v>18.394480048862363</v>
      </c>
      <c r="H58" s="281">
        <f>SUM($C$28)*H52</f>
        <v>16.382583793518045</v>
      </c>
      <c r="I58" s="281">
        <f>SUM($C$28)*I52</f>
        <v>6.5694571603079863</v>
      </c>
      <c r="J58" s="282">
        <f t="shared" si="6"/>
        <v>83.637401472171064</v>
      </c>
    </row>
    <row r="59" spans="2:10">
      <c r="B59" s="165" t="s">
        <v>102</v>
      </c>
      <c r="C59" s="188">
        <f>SUM('WS 2 - Estimating Poverty Level'!K52:N52)</f>
        <v>0.13897119076436037</v>
      </c>
      <c r="D59" s="142"/>
      <c r="E59" s="281">
        <f>SUM($C$29)*E52</f>
        <v>38.51842048896993</v>
      </c>
      <c r="F59" s="281">
        <f>SUM($C$29)*F52</f>
        <v>31.330123707577659</v>
      </c>
      <c r="G59" s="281">
        <f>SUM($C$29)*G52</f>
        <v>30.38072601946924</v>
      </c>
      <c r="H59" s="281">
        <f>SUM($C$29)*H52</f>
        <v>27.057834111089797</v>
      </c>
      <c r="I59" s="281">
        <f>SUM($C$29)*I52</f>
        <v>10.850259292667586</v>
      </c>
      <c r="J59" s="282">
        <f t="shared" si="6"/>
        <v>138.13736361977419</v>
      </c>
    </row>
    <row r="60" spans="2:10" ht="15.75" thickBot="1">
      <c r="B60" s="165" t="s">
        <v>103</v>
      </c>
      <c r="C60" s="189">
        <f>SUM('WS 2 - Estimating Poverty Level'!O50)</f>
        <v>0.28048455420928015</v>
      </c>
      <c r="D60" s="143"/>
      <c r="E60" s="283">
        <f>SUM($C$30)*E52</f>
        <v>77.741450873895872</v>
      </c>
      <c r="F60" s="283">
        <f>SUM($C$30)*F52</f>
        <v>63.233363210809678</v>
      </c>
      <c r="G60" s="283">
        <f>SUM($C$30)*G52</f>
        <v>61.317200689269981</v>
      </c>
      <c r="H60" s="283">
        <f>SUM($C$30)*H52</f>
        <v>54.610631863881082</v>
      </c>
      <c r="I60" s="283">
        <f>SUM($C$30)*I52</f>
        <v>21.899000246167851</v>
      </c>
      <c r="J60" s="284">
        <f t="shared" si="6"/>
        <v>278.80164688402448</v>
      </c>
    </row>
    <row r="61" spans="2:10" ht="15.75" thickBot="1">
      <c r="B61" s="61"/>
      <c r="C61" s="187">
        <f>SUM(C54:C60)</f>
        <v>1</v>
      </c>
      <c r="D61" s="144"/>
      <c r="E61" s="285">
        <f>SUM(E54:E60)</f>
        <v>277.16838487972507</v>
      </c>
      <c r="F61" s="285">
        <f>SUM(F54:F60)</f>
        <v>225.44329896907217</v>
      </c>
      <c r="G61" s="285">
        <f>SUM(G54:G60)</f>
        <v>218.61168384879724</v>
      </c>
      <c r="H61" s="285">
        <f>SUM(H54:H60)</f>
        <v>194.70103092783503</v>
      </c>
      <c r="I61" s="285">
        <f>SUM(I54:I60)</f>
        <v>78.075601374570439</v>
      </c>
      <c r="J61" s="286">
        <f>SUM(E61:I61)</f>
        <v>994</v>
      </c>
    </row>
  </sheetData>
  <sheetProtection selectLockedCells="1"/>
  <mergeCells count="16">
    <mergeCell ref="J6:N6"/>
    <mergeCell ref="J7:N7"/>
    <mergeCell ref="E50:I50"/>
    <mergeCell ref="B51:C51"/>
    <mergeCell ref="E20:I20"/>
    <mergeCell ref="B21:C21"/>
    <mergeCell ref="G6:H6"/>
    <mergeCell ref="G7:H7"/>
    <mergeCell ref="G9:H9"/>
    <mergeCell ref="G10:H10"/>
    <mergeCell ref="G11:H11"/>
    <mergeCell ref="G12:H12"/>
    <mergeCell ref="G13:H13"/>
    <mergeCell ref="G15:H15"/>
    <mergeCell ref="E35:I35"/>
    <mergeCell ref="B36:C36"/>
  </mergeCells>
  <printOptions horizontalCentered="1"/>
  <pageMargins left="0.45" right="0.45" top="0.75" bottom="0.75" header="0.3" footer="0.3"/>
  <pageSetup scale="75" orientation="portrait" verticalDpi="300" r:id="rId1"/>
  <headerFoot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3"/>
  <sheetViews>
    <sheetView topLeftCell="A29" workbookViewId="0">
      <selection activeCell="I17" sqref="I17"/>
    </sheetView>
  </sheetViews>
  <sheetFormatPr defaultRowHeight="15"/>
  <cols>
    <col min="1" max="1" width="25.5703125" customWidth="1"/>
    <col min="2" max="2" width="12.7109375" customWidth="1"/>
    <col min="3" max="3" width="9.85546875" customWidth="1"/>
    <col min="4" max="4" width="13.28515625" customWidth="1"/>
    <col min="5" max="5" width="15.42578125" customWidth="1"/>
    <col min="6" max="6" width="10.140625" customWidth="1"/>
    <col min="7" max="7" width="11.7109375" customWidth="1"/>
  </cols>
  <sheetData>
    <row r="1" spans="1:7" ht="16.5" thickBot="1">
      <c r="A1" s="350" t="s">
        <v>123</v>
      </c>
      <c r="B1" s="350"/>
      <c r="C1" s="350"/>
      <c r="D1" s="350"/>
      <c r="E1" s="350"/>
      <c r="F1" s="350"/>
      <c r="G1" s="350"/>
    </row>
    <row r="2" spans="1:7">
      <c r="A2" s="112"/>
      <c r="B2" s="389" t="s">
        <v>122</v>
      </c>
      <c r="C2" s="389"/>
      <c r="D2" s="389"/>
      <c r="E2" s="389"/>
      <c r="F2" s="389"/>
      <c r="G2" s="38"/>
    </row>
    <row r="3" spans="1:7" ht="12.75" customHeight="1">
      <c r="A3" s="117" t="s">
        <v>121</v>
      </c>
      <c r="B3" s="126" t="s">
        <v>92</v>
      </c>
      <c r="C3" s="121" t="s">
        <v>93</v>
      </c>
      <c r="D3" s="121" t="s">
        <v>94</v>
      </c>
      <c r="E3" s="121" t="s">
        <v>95</v>
      </c>
      <c r="F3" s="121" t="s">
        <v>105</v>
      </c>
      <c r="G3" s="128"/>
    </row>
    <row r="4" spans="1:7" ht="12" customHeight="1">
      <c r="A4" s="329" t="s">
        <v>263</v>
      </c>
      <c r="B4" s="331">
        <v>3391</v>
      </c>
      <c r="C4" s="331">
        <v>3440</v>
      </c>
      <c r="D4" s="331">
        <v>4500</v>
      </c>
      <c r="E4" s="331">
        <v>6978</v>
      </c>
      <c r="F4" s="331">
        <v>10172</v>
      </c>
      <c r="G4" s="129"/>
    </row>
    <row r="5" spans="1:7" ht="12" customHeight="1">
      <c r="A5" s="326" t="s">
        <v>262</v>
      </c>
      <c r="B5" s="327">
        <v>690</v>
      </c>
      <c r="C5" s="327">
        <v>690</v>
      </c>
      <c r="D5" s="327">
        <v>690</v>
      </c>
      <c r="E5" s="327">
        <v>690</v>
      </c>
      <c r="F5" s="327">
        <v>690</v>
      </c>
      <c r="G5" s="129"/>
    </row>
    <row r="6" spans="1:7" ht="12.75" customHeight="1">
      <c r="A6" s="113" t="s">
        <v>119</v>
      </c>
      <c r="B6" s="131">
        <v>690</v>
      </c>
      <c r="C6" s="131">
        <v>690</v>
      </c>
      <c r="D6" s="131">
        <v>690</v>
      </c>
      <c r="E6" s="131">
        <v>690</v>
      </c>
      <c r="F6" s="131">
        <v>690</v>
      </c>
      <c r="G6" s="130"/>
    </row>
    <row r="7" spans="1:7" ht="12" customHeight="1">
      <c r="A7" s="113" t="s">
        <v>118</v>
      </c>
      <c r="B7" s="131">
        <v>1037</v>
      </c>
      <c r="C7" s="131">
        <v>1037</v>
      </c>
      <c r="D7" s="131">
        <v>1037</v>
      </c>
      <c r="E7" s="131">
        <v>1037</v>
      </c>
      <c r="F7" s="131">
        <v>1037</v>
      </c>
      <c r="G7" s="130"/>
    </row>
    <row r="8" spans="1:7" ht="12.75" customHeight="1">
      <c r="A8" s="113" t="s">
        <v>117</v>
      </c>
      <c r="B8" s="127">
        <v>1857</v>
      </c>
      <c r="C8" s="127">
        <v>1857</v>
      </c>
      <c r="D8" s="127">
        <v>1857</v>
      </c>
      <c r="E8" s="127">
        <v>1857</v>
      </c>
      <c r="F8" s="127">
        <v>1857</v>
      </c>
      <c r="G8" s="130"/>
    </row>
    <row r="9" spans="1:7" ht="13.5" customHeight="1">
      <c r="A9" s="113" t="s">
        <v>116</v>
      </c>
      <c r="B9" s="127">
        <v>2275</v>
      </c>
      <c r="C9" s="127">
        <v>2275</v>
      </c>
      <c r="D9" s="127">
        <v>2275</v>
      </c>
      <c r="E9" s="127">
        <v>2275</v>
      </c>
      <c r="F9" s="127">
        <v>2275</v>
      </c>
      <c r="G9" s="130"/>
    </row>
    <row r="10" spans="1:7" ht="13.5" customHeight="1">
      <c r="A10" s="113" t="s">
        <v>115</v>
      </c>
      <c r="B10" s="127">
        <v>3391</v>
      </c>
      <c r="C10" s="127">
        <v>3440</v>
      </c>
      <c r="D10" s="127">
        <v>4099</v>
      </c>
      <c r="E10" s="127">
        <v>4099</v>
      </c>
      <c r="F10" s="127">
        <v>4099</v>
      </c>
      <c r="G10" s="130"/>
    </row>
    <row r="11" spans="1:7" ht="12" customHeight="1">
      <c r="A11" s="113" t="s">
        <v>114</v>
      </c>
      <c r="B11" s="127">
        <v>3391</v>
      </c>
      <c r="C11" s="127">
        <v>3440</v>
      </c>
      <c r="D11" s="127">
        <v>4500</v>
      </c>
      <c r="E11" s="127">
        <v>6978</v>
      </c>
      <c r="F11" s="127">
        <v>10172</v>
      </c>
      <c r="G11" s="130"/>
    </row>
    <row r="12" spans="1:7">
      <c r="A12" s="390" t="s">
        <v>261</v>
      </c>
      <c r="B12" s="391"/>
      <c r="C12" s="391"/>
      <c r="D12" s="391"/>
      <c r="E12" s="391"/>
      <c r="F12" s="391"/>
      <c r="G12" s="392"/>
    </row>
    <row r="13" spans="1:7" ht="13.5" customHeight="1">
      <c r="A13" s="390" t="s">
        <v>167</v>
      </c>
      <c r="B13" s="391"/>
      <c r="C13" s="391"/>
      <c r="D13" s="391"/>
      <c r="E13" s="391"/>
      <c r="F13" s="391"/>
      <c r="G13" s="392"/>
    </row>
    <row r="14" spans="1:7" ht="9.75" customHeight="1" thickBot="1">
      <c r="A14" s="61"/>
      <c r="B14" s="62"/>
      <c r="C14" s="62"/>
      <c r="D14" s="62"/>
      <c r="E14" s="62"/>
      <c r="F14" s="62"/>
      <c r="G14" s="63"/>
    </row>
    <row r="15" spans="1:7" ht="12" customHeight="1"/>
    <row r="16" spans="1:7" ht="15.75" thickBot="1">
      <c r="A16" s="384" t="s">
        <v>168</v>
      </c>
      <c r="B16" s="384"/>
      <c r="C16" s="384"/>
      <c r="D16" s="384"/>
      <c r="E16" s="384"/>
      <c r="F16" s="384"/>
      <c r="G16" s="384"/>
    </row>
    <row r="17" spans="1:7">
      <c r="A17" s="114"/>
      <c r="B17" s="393" t="s">
        <v>125</v>
      </c>
      <c r="C17" s="393"/>
      <c r="D17" s="393"/>
      <c r="E17" s="393"/>
      <c r="F17" s="393"/>
      <c r="G17" s="115"/>
    </row>
    <row r="18" spans="1:7">
      <c r="A18" s="153" t="s">
        <v>121</v>
      </c>
      <c r="B18" s="123" t="s">
        <v>92</v>
      </c>
      <c r="C18" s="90" t="s">
        <v>93</v>
      </c>
      <c r="D18" s="90" t="s">
        <v>94</v>
      </c>
      <c r="E18" s="90" t="s">
        <v>95</v>
      </c>
      <c r="F18" s="90" t="s">
        <v>105</v>
      </c>
      <c r="G18" s="124" t="s">
        <v>1</v>
      </c>
    </row>
    <row r="19" spans="1:7">
      <c r="A19" s="330" t="s">
        <v>263</v>
      </c>
      <c r="B19" s="287">
        <f>SUM('WS 5 - Poverty Level by Age '!E23)*'Worksheet 6 - Premium Cost'!B4</f>
        <v>385311.57747842796</v>
      </c>
      <c r="C19" s="287">
        <f>SUM('WS 5 - Poverty Level by Age '!F23)*'Worksheet 6 - Premium Cost'!C4</f>
        <v>317933.54397873621</v>
      </c>
      <c r="D19" s="287">
        <f>SUM('WS 5 - Poverty Level by Age '!G23)*'Worksheet 6 - Premium Cost'!D4</f>
        <v>403298.36445505649</v>
      </c>
      <c r="E19" s="287">
        <f>SUM('WS 5 - Poverty Level by Age '!H23)*'Worksheet 6 - Premium Cost'!E4</f>
        <v>556980.24746021151</v>
      </c>
      <c r="F19" s="287">
        <f>SUM('WS 5 - Poverty Level by Age '!I23)*'Worksheet 6 - Premium Cost'!F4</f>
        <v>325583.40978070116</v>
      </c>
      <c r="G19" s="288">
        <f>SUM(B19:F19)</f>
        <v>1989107.1431531333</v>
      </c>
    </row>
    <row r="20" spans="1:7">
      <c r="A20" s="116" t="s">
        <v>120</v>
      </c>
      <c r="B20" s="287">
        <f>SUM('WS 5 - Poverty Level by Age '!E24)*'Worksheet 6 - Premium Cost'!B5</f>
        <v>109754.65965177602</v>
      </c>
      <c r="C20" s="287">
        <f>SUM('WS 5 - Poverty Level by Age '!F24)*'Worksheet 6 - Premium Cost'!C5</f>
        <v>89272.275984367108</v>
      </c>
      <c r="D20" s="287">
        <f>SUM('WS 5 - Poverty Level by Age '!G24)*'Worksheet 6 - Premium Cost'!D5</f>
        <v>86567.055499992348</v>
      </c>
      <c r="E20" s="287">
        <f>SUM('WS 5 - Poverty Level by Age '!H24)*'Worksheet 6 - Premium Cost'!E5</f>
        <v>77098.783804680686</v>
      </c>
      <c r="F20" s="287">
        <f>SUM('WS 5 - Poverty Level by Age '!I24)*'Worksheet 6 - Premium Cost'!F5</f>
        <v>30916.805535711552</v>
      </c>
      <c r="G20" s="288">
        <f>SUM(B20:F20)</f>
        <v>393609.58047652768</v>
      </c>
    </row>
    <row r="21" spans="1:7">
      <c r="A21" s="116" t="s">
        <v>119</v>
      </c>
      <c r="B21" s="287">
        <f>SUM('WS 5 - Poverty Level by Age '!E25)*'Worksheet 6 - Premium Cost'!B6</f>
        <v>15411.319439513882</v>
      </c>
      <c r="C21" s="287">
        <f>SUM('WS 5 - Poverty Level by Age '!F25)*'Worksheet 6 - Premium Cost'!C6</f>
        <v>12535.263346928543</v>
      </c>
      <c r="D21" s="287">
        <f>SUM('WS 5 - Poverty Level by Age '!G25)*'Worksheet 6 - Premium Cost'!D6</f>
        <v>12155.406881870102</v>
      </c>
      <c r="E21" s="287">
        <f>SUM('WS 5 - Poverty Level by Age '!H25)*'Worksheet 6 - Premium Cost'!E6</f>
        <v>10825.909254165561</v>
      </c>
      <c r="F21" s="287">
        <f>SUM('WS 5 - Poverty Level by Age '!I25)*'Worksheet 6 - Premium Cost'!F6</f>
        <v>4341.2167435250367</v>
      </c>
      <c r="G21" s="288">
        <f t="shared" ref="G21:G26" si="0">SUM(B21:F21)</f>
        <v>55269.115666003127</v>
      </c>
    </row>
    <row r="22" spans="1:7">
      <c r="A22" s="116" t="s">
        <v>118</v>
      </c>
      <c r="B22" s="287">
        <f>SUM('WS 5 - Poverty Level by Age '!E26)*'Worksheet 6 - Premium Cost'!B7</f>
        <v>56996.360685637883</v>
      </c>
      <c r="C22" s="287">
        <f>SUM('WS 5 - Poverty Level by Age '!F26)*'Worksheet 6 - Premium Cost'!C7</f>
        <v>46359.715909797014</v>
      </c>
      <c r="D22" s="287">
        <f>SUM('WS 5 - Poverty Level by Age '!G26)*'Worksheet 6 - Premium Cost'!D7</f>
        <v>44954.876033742556</v>
      </c>
      <c r="E22" s="287">
        <f>SUM('WS 5 - Poverty Level by Age '!H26)*'Worksheet 6 - Premium Cost'!E7</f>
        <v>40037.936467551961</v>
      </c>
      <c r="F22" s="287">
        <f>SUM('WS 5 - Poverty Level by Age '!I26)*'Worksheet 6 - Premium Cost'!F7</f>
        <v>16055.312869193773</v>
      </c>
      <c r="G22" s="288">
        <f t="shared" si="0"/>
        <v>204404.20196592316</v>
      </c>
    </row>
    <row r="23" spans="1:7">
      <c r="A23" s="116" t="s">
        <v>117</v>
      </c>
      <c r="B23" s="287">
        <f>SUM('WS 5 - Poverty Level by Age '!E27)*'Worksheet 6 - Premium Cost'!B8</f>
        <v>84667.365312625698</v>
      </c>
      <c r="C23" s="287">
        <f>SUM('WS 5 - Poverty Level by Age '!F27)*'Worksheet 6 - Premium Cost'!C8</f>
        <v>68866.765447945552</v>
      </c>
      <c r="D23" s="287">
        <f>SUM('WS 5 - Poverty Level by Age '!G27)*'Worksheet 6 - Premium Cost'!D8</f>
        <v>66779.89376770478</v>
      </c>
      <c r="E23" s="287">
        <f>SUM('WS 5 - Poverty Level by Age '!H27)*'Worksheet 6 - Premium Cost'!E8</f>
        <v>59475.842886862061</v>
      </c>
      <c r="F23" s="287">
        <f>SUM('WS 5 - Poverty Level by Age '!I27)*'Worksheet 6 - Premium Cost'!F8</f>
        <v>23849.962059894562</v>
      </c>
      <c r="G23" s="288">
        <f t="shared" si="0"/>
        <v>303639.82947503269</v>
      </c>
    </row>
    <row r="24" spans="1:7">
      <c r="A24" s="116" t="s">
        <v>116</v>
      </c>
      <c r="B24" s="287">
        <f>SUM('WS 5 - Poverty Level by Age '!E28)*'Worksheet 6 - Premium Cost'!B9</f>
        <v>108728.62191382238</v>
      </c>
      <c r="C24" s="287">
        <f>SUM('WS 5 - Poverty Level by Age '!F28)*'Worksheet 6 - Premium Cost'!C9</f>
        <v>88437.717120045665</v>
      </c>
      <c r="D24" s="287">
        <f>SUM('WS 5 - Poverty Level by Age '!G28)*'Worksheet 6 - Premium Cost'!D9</f>
        <v>85757.786298226099</v>
      </c>
      <c r="E24" s="287">
        <f>SUM('WS 5 - Poverty Level by Age '!H28)*'Worksheet 6 - Premium Cost'!E9</f>
        <v>76378.028421857627</v>
      </c>
      <c r="F24" s="287">
        <f>SUM('WS 5 - Poverty Level by Age '!I28)*'Worksheet 6 - Premium Cost'!F9</f>
        <v>30627.78082079504</v>
      </c>
      <c r="G24" s="288">
        <f t="shared" si="0"/>
        <v>389929.93457474682</v>
      </c>
    </row>
    <row r="25" spans="1:7">
      <c r="A25" s="116" t="s">
        <v>115</v>
      </c>
      <c r="B25" s="287">
        <f>SUM('WS 5 - Poverty Level by Age '!E29)*'Worksheet 6 - Premium Cost'!B10</f>
        <v>267670.74287694535</v>
      </c>
      <c r="C25" s="287">
        <f>SUM('WS 5 - Poverty Level by Age '!F29)*'Worksheet 6 - Premium Cost'!C10</f>
        <v>220864.13405798265</v>
      </c>
      <c r="D25" s="287">
        <f>SUM('WS 5 - Poverty Level by Age '!G29)*'Worksheet 6 - Premium Cost'!D10</f>
        <v>255200.0241025147</v>
      </c>
      <c r="E25" s="287">
        <f>SUM('WS 5 - Poverty Level by Age '!H29)*'Worksheet 6 - Premium Cost'!E10</f>
        <v>227287.52146630216</v>
      </c>
      <c r="F25" s="287">
        <f>SUM('WS 5 - Poverty Level by Age '!I29)*'Worksheet 6 - Premium Cost'!F10</f>
        <v>91142.865750898112</v>
      </c>
      <c r="G25" s="288">
        <f t="shared" si="0"/>
        <v>1062165.2882546431</v>
      </c>
    </row>
    <row r="26" spans="1:7">
      <c r="A26" s="116" t="s">
        <v>114</v>
      </c>
      <c r="B26" s="287">
        <f>SUM('WS 5 - Poverty Level by Age '!E45)*'Worksheet 6 - Premium Cost'!B11</f>
        <v>53042.507024825136</v>
      </c>
      <c r="C26" s="287">
        <f>SUM('WS 5 - Poverty Level by Age '!F30)*'Worksheet 6 - Premium Cost'!C11</f>
        <v>445768.49231372477</v>
      </c>
      <c r="D26" s="287">
        <f>SUM('WS 5 - Poverty Level by Age '!G30)*'Worksheet 6 - Premium Cost'!D11</f>
        <v>565456.86128590873</v>
      </c>
      <c r="E26" s="287">
        <f>SUM('WS 5 - Poverty Level by Age '!H30)*'Worksheet 6 - Premium Cost'!E11</f>
        <v>780931.26648967038</v>
      </c>
      <c r="F26" s="287">
        <f>SUM('WS 5 - Poverty Level by Age '!I30)*'Worksheet 6 - Premium Cost'!F11</f>
        <v>456494.22166668763</v>
      </c>
      <c r="G26" s="288">
        <f t="shared" si="0"/>
        <v>2301693.3487808164</v>
      </c>
    </row>
    <row r="27" spans="1:7" ht="15.75" thickBot="1">
      <c r="A27" s="125" t="s">
        <v>124</v>
      </c>
      <c r="B27" s="289">
        <f t="shared" ref="B27:F27" si="1">SUM(B20:B26)</f>
        <v>696271.57690514624</v>
      </c>
      <c r="C27" s="289">
        <f t="shared" si="1"/>
        <v>972104.36418079119</v>
      </c>
      <c r="D27" s="289">
        <f t="shared" si="1"/>
        <v>1116871.9038699593</v>
      </c>
      <c r="E27" s="289">
        <f t="shared" si="1"/>
        <v>1272035.2887910905</v>
      </c>
      <c r="F27" s="289">
        <f t="shared" si="1"/>
        <v>653428.16544670565</v>
      </c>
      <c r="G27" s="328">
        <f>SUM(G19:G26)</f>
        <v>6699818.4423468262</v>
      </c>
    </row>
    <row r="28" spans="1:7" ht="12" customHeight="1"/>
    <row r="29" spans="1:7" ht="15.75" thickBot="1">
      <c r="A29" s="384" t="s">
        <v>225</v>
      </c>
      <c r="B29" s="384"/>
      <c r="C29" s="384"/>
      <c r="D29" s="384"/>
      <c r="E29" s="384"/>
      <c r="F29" s="384"/>
      <c r="G29" s="384"/>
    </row>
    <row r="30" spans="1:7">
      <c r="A30" s="114"/>
      <c r="B30" s="393" t="s">
        <v>125</v>
      </c>
      <c r="C30" s="393"/>
      <c r="D30" s="393"/>
      <c r="E30" s="393"/>
      <c r="F30" s="393"/>
      <c r="G30" s="115"/>
    </row>
    <row r="31" spans="1:7">
      <c r="A31" s="153" t="s">
        <v>121</v>
      </c>
      <c r="B31" s="123" t="s">
        <v>92</v>
      </c>
      <c r="C31" s="90" t="s">
        <v>93</v>
      </c>
      <c r="D31" s="90" t="s">
        <v>94</v>
      </c>
      <c r="E31" s="90" t="s">
        <v>95</v>
      </c>
      <c r="F31" s="90" t="s">
        <v>105</v>
      </c>
      <c r="G31" s="124" t="s">
        <v>1</v>
      </c>
    </row>
    <row r="32" spans="1:7">
      <c r="A32" s="330" t="s">
        <v>263</v>
      </c>
      <c r="B32" s="287">
        <f>SUM('WS 5 - Poverty Level by Age '!E38)*'Worksheet 6 - Premium Cost'!B4</f>
        <v>37831.279084774469</v>
      </c>
      <c r="C32" s="287">
        <f>SUM('WS 5 - Poverty Level by Age '!F38)*'Worksheet 6 - Premium Cost'!C4</f>
        <v>31215.86096992992</v>
      </c>
      <c r="D32" s="287">
        <f>SUM('WS 5 - Poverty Level by Age '!G38)*'Worksheet 6 - Premium Cost'!D4</f>
        <v>39597.286642617233</v>
      </c>
      <c r="E32" s="287">
        <f>SUM('WS 5 - Poverty Level by Age '!H38)*'Worksheet 6 - Premium Cost'!E4</f>
        <v>54686.327683869567</v>
      </c>
      <c r="F32" s="287">
        <f>SUM('WS 5 - Poverty Level by Age '!I38)*'Worksheet 6 - Premium Cost'!F4</f>
        <v>31966.952359420829</v>
      </c>
      <c r="G32" s="288">
        <f>SUM(B32:F32)</f>
        <v>195297.70674061202</v>
      </c>
    </row>
    <row r="33" spans="1:7">
      <c r="A33" s="116" t="s">
        <v>120</v>
      </c>
      <c r="B33" s="287">
        <f>SUM('WS 5 - Poverty Level by Age '!E39)*'Worksheet 6 - Premium Cost'!B5</f>
        <v>10776.107967773787</v>
      </c>
      <c r="C33" s="287">
        <f>SUM('WS 5 - Poverty Level by Age '!F39)*'Worksheet 6 - Premium Cost'!C5</f>
        <v>8765.0737343512137</v>
      </c>
      <c r="D33" s="287">
        <f>SUM('WS 5 - Poverty Level by Age '!G39)*'Worksheet 6 - Premium Cost'!D5</f>
        <v>8499.4654393708734</v>
      </c>
      <c r="E33" s="287">
        <f>SUM('WS 5 - Poverty Level by Age '!H39)*'Worksheet 6 - Premium Cost'!E5</f>
        <v>7569.8364069396857</v>
      </c>
      <c r="F33" s="287">
        <f>SUM('WS 5 - Poverty Level by Age '!I39)*'Worksheet 6 - Premium Cost'!F5</f>
        <v>3035.5233712038835</v>
      </c>
      <c r="G33" s="288">
        <f>SUM(B33:F33)</f>
        <v>38646.006919639447</v>
      </c>
    </row>
    <row r="34" spans="1:7">
      <c r="A34" s="116" t="s">
        <v>119</v>
      </c>
      <c r="B34" s="287">
        <f>SUM('WS 5 - Poverty Level by Age '!E40)*'Worksheet 6 - Premium Cost'!B6</f>
        <v>1513.1388747681769</v>
      </c>
      <c r="C34" s="287">
        <f>SUM('WS 5 - Poverty Level by Age '!F40)*'Worksheet 6 - Premium Cost'!C6</f>
        <v>1230.7573241952425</v>
      </c>
      <c r="D34" s="287">
        <f>SUM('WS 5 - Poverty Level by Age '!G40)*'Worksheet 6 - Premium Cost'!D6</f>
        <v>1193.4616477044774</v>
      </c>
      <c r="E34" s="287">
        <f>SUM('WS 5 - Poverty Level by Age '!H40)*'Worksheet 6 - Premium Cost'!E6</f>
        <v>1062.9267799868003</v>
      </c>
      <c r="F34" s="287">
        <f>SUM('WS 5 - Poverty Level by Age '!I40)*'Worksheet 6 - Premium Cost'!F6</f>
        <v>426.23630275159906</v>
      </c>
      <c r="G34" s="288">
        <f t="shared" ref="G34:G39" si="2">SUM(B34:F34)</f>
        <v>5426.5209294062961</v>
      </c>
    </row>
    <row r="35" spans="1:7">
      <c r="A35" s="116" t="s">
        <v>118</v>
      </c>
      <c r="B35" s="287">
        <f>SUM('WS 5 - Poverty Level by Age '!E41)*'Worksheet 6 - Premium Cost'!B7</f>
        <v>5596.1080692820706</v>
      </c>
      <c r="C35" s="287">
        <f>SUM('WS 5 - Poverty Level by Age '!F41)*'Worksheet 6 - Premium Cost'!C7</f>
        <v>4551.7639577611208</v>
      </c>
      <c r="D35" s="287">
        <f>SUM('WS 5 - Poverty Level by Age '!G41)*'Worksheet 6 - Premium Cost'!D7</f>
        <v>4413.8317166168445</v>
      </c>
      <c r="E35" s="287">
        <f>SUM('WS 5 - Poverty Level by Age '!H41)*'Worksheet 6 - Premium Cost'!E7</f>
        <v>3931.0688726118769</v>
      </c>
      <c r="F35" s="287">
        <f>SUM('WS 5 - Poverty Level by Age '!I41)*'Worksheet 6 - Premium Cost'!F7</f>
        <v>1576.3684702203016</v>
      </c>
      <c r="G35" s="288">
        <f t="shared" si="2"/>
        <v>20069.141086492215</v>
      </c>
    </row>
    <row r="36" spans="1:7">
      <c r="A36" s="116" t="s">
        <v>117</v>
      </c>
      <c r="B36" s="287">
        <f>SUM('WS 5 - Poverty Level by Age '!E42)*'Worksheet 6 - Premium Cost'!B8</f>
        <v>8312.9470115489148</v>
      </c>
      <c r="C36" s="287">
        <f>SUM('WS 5 - Poverty Level by Age '!F42)*'Worksheet 6 - Premium Cost'!C8</f>
        <v>6761.5871819288714</v>
      </c>
      <c r="D36" s="287">
        <f>SUM('WS 5 - Poverty Level by Age '!G42)*'Worksheet 6 - Premium Cost'!D8</f>
        <v>6556.6906006582994</v>
      </c>
      <c r="E36" s="287">
        <f>SUM('WS 5 - Poverty Level by Age '!H42)*'Worksheet 6 - Premium Cost'!E8</f>
        <v>5839.5525662112977</v>
      </c>
      <c r="F36" s="287">
        <f>SUM('WS 5 - Poverty Level by Age '!I42)*'Worksheet 6 - Premium Cost'!F8</f>
        <v>2341.6752145208206</v>
      </c>
      <c r="G36" s="288">
        <f t="shared" si="2"/>
        <v>29812.452574868203</v>
      </c>
    </row>
    <row r="37" spans="1:7">
      <c r="A37" s="116" t="s">
        <v>116</v>
      </c>
      <c r="B37" s="287">
        <f>SUM('WS 5 - Poverty Level by Age '!E43)*'Worksheet 6 - Premium Cost'!B9</f>
        <v>10675.36788550048</v>
      </c>
      <c r="C37" s="287">
        <f>SUM('WS 5 - Poverty Level by Age '!F43)*'Worksheet 6 - Premium Cost'!C9</f>
        <v>8683.133737854263</v>
      </c>
      <c r="D37" s="287">
        <f>SUM('WS 5 - Poverty Level by Age '!G43)*'Worksheet 6 - Premium Cost'!D9</f>
        <v>8420.0084730708004</v>
      </c>
      <c r="E37" s="287">
        <f>SUM('WS 5 - Poverty Level by Age '!H43)*'Worksheet 6 - Premium Cost'!E9</f>
        <v>7499.0700463286821</v>
      </c>
      <c r="F37" s="287">
        <f>SUM('WS 5 - Poverty Level by Age '!I43)*'Worksheet 6 - Premium Cost'!F9</f>
        <v>3007.1458832395715</v>
      </c>
      <c r="G37" s="288">
        <f t="shared" si="2"/>
        <v>38284.726025993798</v>
      </c>
    </row>
    <row r="38" spans="1:7">
      <c r="A38" s="116" t="s">
        <v>115</v>
      </c>
      <c r="B38" s="287">
        <f>SUM('WS 5 - Poverty Level by Age '!E44)*'Worksheet 6 - Premium Cost'!B10</f>
        <v>26280.878043882705</v>
      </c>
      <c r="C38" s="287">
        <f>SUM('WS 5 - Poverty Level by Age '!F44)*'Worksheet 6 - Premium Cost'!C10</f>
        <v>21685.236529993388</v>
      </c>
      <c r="D38" s="287">
        <f>SUM('WS 5 - Poverty Level by Age '!G44)*'Worksheet 6 - Premium Cost'!D10</f>
        <v>25056.457938391235</v>
      </c>
      <c r="E38" s="287">
        <f>SUM('WS 5 - Poverty Level by Age '!H44)*'Worksheet 6 - Premium Cost'!E10</f>
        <v>22315.907851379692</v>
      </c>
      <c r="F38" s="287">
        <f>SUM('WS 5 - Poverty Level by Age '!I44)*'Worksheet 6 - Premium Cost'!F10</f>
        <v>8948.7349779968681</v>
      </c>
      <c r="G38" s="288">
        <f t="shared" si="2"/>
        <v>104287.21534164388</v>
      </c>
    </row>
    <row r="39" spans="1:7">
      <c r="A39" s="116" t="s">
        <v>114</v>
      </c>
      <c r="B39" s="287">
        <f>SUM('WS 5 - Poverty Level by Age '!E45)*'Worksheet 6 - Premium Cost'!B11</f>
        <v>53042.507024825136</v>
      </c>
      <c r="C39" s="287">
        <f>SUM('WS 5 - Poverty Level by Age '!F45)*'Worksheet 6 - Premium Cost'!C11</f>
        <v>43767.156830017164</v>
      </c>
      <c r="D39" s="287">
        <f>SUM('WS 5 - Poverty Level by Age '!G45)*'Worksheet 6 - Premium Cost'!D11</f>
        <v>55518.592173383287</v>
      </c>
      <c r="E39" s="287">
        <f>SUM('WS 5 - Poverty Level by Age '!H45)*'Worksheet 6 - Premium Cost'!E11</f>
        <v>76674.645703453163</v>
      </c>
      <c r="F39" s="287">
        <f>SUM('WS 5 - Poverty Level by Age '!I45)*'Worksheet 6 - Premium Cost'!F11</f>
        <v>44820.247586321806</v>
      </c>
      <c r="G39" s="288">
        <f t="shared" si="2"/>
        <v>273823.14931800053</v>
      </c>
    </row>
    <row r="40" spans="1:7" ht="15.75" thickBot="1">
      <c r="A40" s="125" t="s">
        <v>124</v>
      </c>
      <c r="B40" s="289">
        <f t="shared" ref="B40:F40" si="3">SUM(B33:B39)</f>
        <v>116197.05487758128</v>
      </c>
      <c r="C40" s="289">
        <f t="shared" si="3"/>
        <v>95444.709296101268</v>
      </c>
      <c r="D40" s="289">
        <f t="shared" si="3"/>
        <v>109658.50798919582</v>
      </c>
      <c r="E40" s="289">
        <f t="shared" si="3"/>
        <v>124893.0082269112</v>
      </c>
      <c r="F40" s="289">
        <f t="shared" si="3"/>
        <v>64155.931806254848</v>
      </c>
      <c r="G40" s="328">
        <f>SUM(G32:G39)</f>
        <v>705646.91893665644</v>
      </c>
    </row>
    <row r="42" spans="1:7" ht="15.75" thickBot="1">
      <c r="A42" s="359" t="s">
        <v>169</v>
      </c>
      <c r="B42" s="359"/>
      <c r="C42" s="359"/>
      <c r="D42" s="359"/>
      <c r="E42" s="359"/>
      <c r="F42" s="359"/>
      <c r="G42" s="359"/>
    </row>
    <row r="43" spans="1:7">
      <c r="A43" s="114"/>
      <c r="B43" s="393" t="s">
        <v>125</v>
      </c>
      <c r="C43" s="393"/>
      <c r="D43" s="393"/>
      <c r="E43" s="393"/>
      <c r="F43" s="393"/>
      <c r="G43" s="394"/>
    </row>
    <row r="44" spans="1:7">
      <c r="A44" s="161" t="s">
        <v>121</v>
      </c>
      <c r="B44" s="90" t="s">
        <v>92</v>
      </c>
      <c r="C44" s="90" t="s">
        <v>93</v>
      </c>
      <c r="D44" s="90" t="s">
        <v>94</v>
      </c>
      <c r="E44" s="90" t="s">
        <v>95</v>
      </c>
      <c r="F44" s="90" t="s">
        <v>105</v>
      </c>
      <c r="G44" s="124" t="s">
        <v>1</v>
      </c>
    </row>
    <row r="45" spans="1:7">
      <c r="A45" s="330" t="s">
        <v>263</v>
      </c>
      <c r="B45" s="290">
        <f>SUM('WS 5 - Poverty Level by Age '!E53)*'Worksheet 6 - Premium Cost'!B4</f>
        <v>188021.45705132911</v>
      </c>
      <c r="C45" s="290">
        <f>SUM('WS 5 - Poverty Level by Age '!F53)*'Worksheet 6 - Premium Cost'!C4</f>
        <v>155142.8290205517</v>
      </c>
      <c r="D45" s="290">
        <f>SUM('WS 5 - Poverty Level by Age '!G53)*'Worksheet 6 - Premium Cost'!D4</f>
        <v>196798.51461380761</v>
      </c>
      <c r="E45" s="290">
        <f>SUM('WS 5 - Poverty Level by Age '!H53)*'Worksheet 6 - Premium Cost'!E4</f>
        <v>271791.04858883173</v>
      </c>
      <c r="F45" s="290">
        <f>SUM('WS 5 - Poverty Level by Age '!I53)*'Worksheet 6 - Premium Cost'!F4</f>
        <v>158875.75322632151</v>
      </c>
      <c r="G45" s="288">
        <f>SUM(B45:F45)</f>
        <v>970629.6025008416</v>
      </c>
    </row>
    <row r="46" spans="1:7">
      <c r="A46" s="116" t="s">
        <v>120</v>
      </c>
      <c r="B46" s="290">
        <f>SUM('WS 5 - Poverty Level by Age '!E54)*'Worksheet 6 - Premium Cost'!B5</f>
        <v>53557.256599835709</v>
      </c>
      <c r="C46" s="290">
        <f>SUM('WS 5 - Poverty Level by Age '!F54)*'Worksheet 6 - Premium Cost'!C5</f>
        <v>43562.416459725529</v>
      </c>
      <c r="D46" s="290">
        <f>SUM('WS 5 - Poverty Level by Age '!G54)*'Worksheet 6 - Premium Cost'!D5</f>
        <v>42242.343233673244</v>
      </c>
      <c r="E46" s="290">
        <f>SUM('WS 5 - Poverty Level by Age '!H54)*'Worksheet 6 - Premium Cost'!E5</f>
        <v>37622.086942490234</v>
      </c>
      <c r="F46" s="290">
        <f>SUM('WS 5 - Poverty Level by Age '!I54)*'Worksheet 6 - Premium Cost'!F5</f>
        <v>15086.551154883298</v>
      </c>
      <c r="G46" s="291">
        <f t="shared" ref="G46:G50" si="4">SUM(B46:F46)</f>
        <v>192070.65439060802</v>
      </c>
    </row>
    <row r="47" spans="1:7">
      <c r="A47" s="116" t="s">
        <v>119</v>
      </c>
      <c r="B47" s="287">
        <f>SUM('WS 5 - Poverty Level by Age '!E55)*'Worksheet 6 - Premium Cost'!B6</f>
        <v>7520.3002075978375</v>
      </c>
      <c r="C47" s="287">
        <f>SUM('WS 5 - Poverty Level by Age '!F55)*'Worksheet 6 - Premium Cost'!C6</f>
        <v>6116.8639012503554</v>
      </c>
      <c r="D47" s="287">
        <f>SUM('WS 5 - Poverty Level by Age '!G55)*'Worksheet 6 - Premium Cost'!D6</f>
        <v>5931.504389091253</v>
      </c>
      <c r="E47" s="287">
        <f>SUM('WS 5 - Poverty Level by Age '!H55)*'Worksheet 6 - Premium Cost'!E6</f>
        <v>5282.7460965343971</v>
      </c>
      <c r="F47" s="287">
        <f>SUM('WS 5 - Poverty Level by Age '!I55)*'Worksheet 6 - Premium Cost'!F6</f>
        <v>2118.3944246754472</v>
      </c>
      <c r="G47" s="292">
        <f t="shared" si="4"/>
        <v>26969.809019149288</v>
      </c>
    </row>
    <row r="48" spans="1:7">
      <c r="A48" s="116" t="s">
        <v>118</v>
      </c>
      <c r="B48" s="287">
        <f>SUM('WS 5 - Poverty Level by Age '!E56)*'Worksheet 6 - Premium Cost'!B7</f>
        <v>27812.657104331887</v>
      </c>
      <c r="C48" s="287">
        <f>SUM('WS 5 - Poverty Level by Age '!F56)*'Worksheet 6 - Premium Cost'!C7</f>
        <v>22622.266870072774</v>
      </c>
      <c r="D48" s="287">
        <f>SUM('WS 5 - Poverty Level by Age '!G56)*'Worksheet 6 - Premium Cost'!D7</f>
        <v>21936.743631585716</v>
      </c>
      <c r="E48" s="287">
        <f>SUM('WS 5 - Poverty Level by Age '!H56)*'Worksheet 6 - Premium Cost'!E7</f>
        <v>19537.41229688103</v>
      </c>
      <c r="F48" s="287">
        <f>SUM('WS 5 - Poverty Level by Age '!I56)*'Worksheet 6 - Premium Cost'!F7</f>
        <v>7834.5512969948986</v>
      </c>
      <c r="G48" s="288">
        <f t="shared" si="4"/>
        <v>99743.631199866315</v>
      </c>
    </row>
    <row r="49" spans="1:7">
      <c r="A49" s="116" t="s">
        <v>117</v>
      </c>
      <c r="B49" s="287">
        <f>SUM('WS 5 - Poverty Level by Age '!E57)*'Worksheet 6 - Premium Cost'!B8</f>
        <v>41315.346647398103</v>
      </c>
      <c r="C49" s="287">
        <f>SUM('WS 5 - Poverty Level by Age '!F57)*'Worksheet 6 - Premium Cost'!C8</f>
        <v>33605.088294186491</v>
      </c>
      <c r="D49" s="287">
        <f>SUM('WS 5 - Poverty Level by Age '!G57)*'Worksheet 6 - Premium Cost'!D8</f>
        <v>32586.752285271741</v>
      </c>
      <c r="E49" s="287">
        <f>SUM('WS 5 - Poverty Level by Age '!H57)*'Worksheet 6 - Premium Cost'!E8</f>
        <v>29022.576254070151</v>
      </c>
      <c r="F49" s="287">
        <f>SUM('WS 5 - Poverty Level by Age '!I57)*'Worksheet 6 - Premium Cost'!F8</f>
        <v>11638.12581616848</v>
      </c>
      <c r="G49" s="288">
        <f t="shared" si="4"/>
        <v>148167.88929709495</v>
      </c>
    </row>
    <row r="50" spans="1:7">
      <c r="A50" s="116" t="s">
        <v>116</v>
      </c>
      <c r="B50" s="287">
        <f>SUM('WS 5 - Poverty Level by Age '!E58)*'Worksheet 6 - Premium Cost'!B9</f>
        <v>53056.578390937379</v>
      </c>
      <c r="C50" s="287">
        <f>SUM('WS 5 - Poverty Level by Age '!F58)*'Worksheet 6 - Premium Cost'!C9</f>
        <v>43155.174677135685</v>
      </c>
      <c r="D50" s="287">
        <f>SUM('WS 5 - Poverty Level by Age '!G58)*'Worksheet 6 - Premium Cost'!D9</f>
        <v>41847.442111161872</v>
      </c>
      <c r="E50" s="287">
        <f>SUM('WS 5 - Poverty Level by Age '!H58)*'Worksheet 6 - Premium Cost'!E9</f>
        <v>37270.37813025355</v>
      </c>
      <c r="F50" s="287">
        <f>SUM('WS 5 - Poverty Level by Age '!I58)*'Worksheet 6 - Premium Cost'!F9</f>
        <v>14945.515039700669</v>
      </c>
      <c r="G50" s="288">
        <f t="shared" si="4"/>
        <v>190275.08834918917</v>
      </c>
    </row>
    <row r="51" spans="1:7">
      <c r="A51" s="116" t="s">
        <v>115</v>
      </c>
      <c r="B51" s="287">
        <f>SUM('WS 5 - Poverty Level by Age '!E59)*'Worksheet 6 - Premium Cost'!B10</f>
        <v>130615.96387809703</v>
      </c>
      <c r="C51" s="287">
        <f>SUM('WS 5 - Poverty Level by Age '!F59)*'Worksheet 6 - Premium Cost'!C10</f>
        <v>107775.62555406714</v>
      </c>
      <c r="D51" s="287">
        <f>SUM('WS 5 - Poverty Level by Age '!G59)*'Worksheet 6 - Premium Cost'!D10</f>
        <v>124530.59595380441</v>
      </c>
      <c r="E51" s="287">
        <f>SUM('WS 5 - Poverty Level by Age '!H59)*'Worksheet 6 - Premium Cost'!E10</f>
        <v>110910.06202135708</v>
      </c>
      <c r="F51" s="287">
        <f>SUM('WS 5 - Poverty Level by Age '!I59)*'Worksheet 6 - Premium Cost'!F10</f>
        <v>44475.212840644432</v>
      </c>
      <c r="G51" s="288">
        <f t="shared" ref="G51:G52" si="5">SUM(B51:F51)</f>
        <v>518307.46024797001</v>
      </c>
    </row>
    <row r="52" spans="1:7">
      <c r="A52" s="116" t="s">
        <v>114</v>
      </c>
      <c r="B52" s="287">
        <f>SUM('WS 5 - Poverty Level by Age '!E60)*'Worksheet 6 - Premium Cost'!B11</f>
        <v>263621.2599133809</v>
      </c>
      <c r="C52" s="287">
        <f>SUM('WS 5 - Poverty Level by Age '!F60)*'Worksheet 6 - Premium Cost'!C11</f>
        <v>217522.76944518529</v>
      </c>
      <c r="D52" s="287">
        <f>SUM('WS 5 - Poverty Level by Age '!G60)*'Worksheet 6 - Premium Cost'!D11</f>
        <v>275927.40310171491</v>
      </c>
      <c r="E52" s="287">
        <f>SUM('WS 5 - Poverty Level by Age '!H60)*'Worksheet 6 - Premium Cost'!E11</f>
        <v>381072.98914616217</v>
      </c>
      <c r="F52" s="287">
        <f>SUM('WS 5 - Poverty Level by Age '!I60)*'Worksheet 6 - Premium Cost'!F11</f>
        <v>222756.63050401938</v>
      </c>
      <c r="G52" s="288">
        <f t="shared" si="5"/>
        <v>1360901.0521104627</v>
      </c>
    </row>
    <row r="53" spans="1:7" ht="15.75" thickBot="1">
      <c r="A53" s="162" t="s">
        <v>124</v>
      </c>
      <c r="B53" s="289">
        <f t="shared" ref="B53:F53" si="6">SUM(B46:B52)</f>
        <v>577499.36274157884</v>
      </c>
      <c r="C53" s="289">
        <f t="shared" si="6"/>
        <v>474360.20520162326</v>
      </c>
      <c r="D53" s="289">
        <f t="shared" si="6"/>
        <v>545002.78470630315</v>
      </c>
      <c r="E53" s="289">
        <f t="shared" si="6"/>
        <v>620718.25088774855</v>
      </c>
      <c r="F53" s="289">
        <f t="shared" si="6"/>
        <v>318854.98107708665</v>
      </c>
      <c r="G53" s="328">
        <f>SUM(G45:G52)</f>
        <v>3507065.1871151822</v>
      </c>
    </row>
  </sheetData>
  <sheetProtection selectLockedCells="1" selectUnlockedCells="1"/>
  <mergeCells count="10">
    <mergeCell ref="A29:G29"/>
    <mergeCell ref="B30:F30"/>
    <mergeCell ref="A42:G42"/>
    <mergeCell ref="B43:G43"/>
    <mergeCell ref="B17:F17"/>
    <mergeCell ref="A1:G1"/>
    <mergeCell ref="B2:F2"/>
    <mergeCell ref="A12:G12"/>
    <mergeCell ref="A16:G16"/>
    <mergeCell ref="A13:G13"/>
  </mergeCells>
  <printOptions horizontalCentered="1"/>
  <pageMargins left="0.45" right="0.45" top="0.5" bottom="0.5" header="0.3" footer="0.3"/>
  <pageSetup orientation="portrait" verticalDpi="300" r:id="rId1"/>
  <headerFoot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M24"/>
  <sheetViews>
    <sheetView topLeftCell="A2" workbookViewId="0">
      <selection activeCell="Q13" sqref="Q13"/>
    </sheetView>
  </sheetViews>
  <sheetFormatPr defaultRowHeight="15"/>
  <cols>
    <col min="1" max="1" width="2.7109375" customWidth="1"/>
    <col min="2" max="2" width="3.85546875" customWidth="1"/>
    <col min="8" max="8" width="5.140625" customWidth="1"/>
    <col min="9" max="9" width="13.28515625" customWidth="1"/>
    <col min="10" max="10" width="1.5703125" customWidth="1"/>
    <col min="11" max="11" width="14.28515625" bestFit="1" customWidth="1"/>
    <col min="12" max="12" width="2" customWidth="1"/>
    <col min="13" max="13" width="12.5703125" bestFit="1" customWidth="1"/>
    <col min="14" max="14" width="2.140625" customWidth="1"/>
  </cols>
  <sheetData>
    <row r="2" spans="1:13" ht="15.75">
      <c r="A2" s="350" t="s">
        <v>135</v>
      </c>
      <c r="B2" s="350"/>
      <c r="C2" s="350"/>
      <c r="D2" s="350"/>
      <c r="E2" s="350"/>
      <c r="F2" s="350"/>
      <c r="G2" s="350"/>
      <c r="H2" s="350"/>
      <c r="I2" s="350"/>
      <c r="J2" s="350"/>
    </row>
    <row r="3" spans="1:13" ht="15.75">
      <c r="A3" s="155"/>
      <c r="B3" s="155"/>
      <c r="C3" s="155"/>
      <c r="D3" s="155"/>
      <c r="E3" s="155"/>
      <c r="F3" s="155"/>
      <c r="G3" s="155"/>
      <c r="H3" s="155"/>
      <c r="I3" s="155"/>
      <c r="J3" s="155"/>
    </row>
    <row r="5" spans="1:13">
      <c r="I5" s="152" t="s">
        <v>162</v>
      </c>
      <c r="K5" s="152" t="s">
        <v>163</v>
      </c>
      <c r="M5" s="152" t="s">
        <v>165</v>
      </c>
    </row>
    <row r="6" spans="1:13">
      <c r="B6" s="3" t="s">
        <v>127</v>
      </c>
      <c r="I6" s="152" t="s">
        <v>156</v>
      </c>
      <c r="K6" s="152" t="s">
        <v>164</v>
      </c>
      <c r="M6" s="152" t="s">
        <v>166</v>
      </c>
    </row>
    <row r="7" spans="1:13">
      <c r="A7" s="93"/>
      <c r="B7" s="93"/>
      <c r="C7" s="93"/>
      <c r="D7" s="93"/>
      <c r="E7" s="93"/>
      <c r="F7" s="93"/>
      <c r="G7" s="93"/>
      <c r="H7" s="93"/>
      <c r="I7" s="93"/>
      <c r="J7" s="93"/>
    </row>
    <row r="8" spans="1:13">
      <c r="A8" s="93"/>
      <c r="B8" s="93" t="s">
        <v>219</v>
      </c>
      <c r="C8" s="93"/>
      <c r="D8" s="93"/>
      <c r="E8" s="93"/>
      <c r="F8" s="93"/>
      <c r="G8" s="93"/>
      <c r="H8" s="93"/>
      <c r="I8" s="315">
        <v>2037</v>
      </c>
      <c r="J8" s="93"/>
      <c r="K8" s="318">
        <f>SUM('Worksheet 1 - Demographics'!E13)</f>
        <v>1589</v>
      </c>
      <c r="M8" s="318">
        <f>SUM('Worksheet 1 - Demographics'!G13)</f>
        <v>994</v>
      </c>
    </row>
    <row r="9" spans="1:13">
      <c r="A9" s="93"/>
      <c r="B9" s="93"/>
      <c r="C9" s="93"/>
      <c r="D9" s="93"/>
      <c r="E9" s="93"/>
      <c r="F9" s="93"/>
      <c r="G9" s="93"/>
      <c r="H9" s="93"/>
      <c r="I9" s="93"/>
      <c r="J9" s="93"/>
    </row>
    <row r="10" spans="1:13">
      <c r="A10" s="93"/>
      <c r="B10" s="93" t="s">
        <v>128</v>
      </c>
      <c r="C10" s="93"/>
      <c r="D10" s="93"/>
      <c r="E10" s="93"/>
      <c r="F10" s="93"/>
      <c r="G10" s="93"/>
      <c r="H10" s="93"/>
      <c r="I10" s="314">
        <f>SUM(Questionnaire!E64)</f>
        <v>30000</v>
      </c>
      <c r="J10" s="93"/>
      <c r="K10" s="293">
        <f>SUM(Questionnaire!E64/I8)*K8</f>
        <v>23402.061855670101</v>
      </c>
      <c r="M10" s="293">
        <f>SUM(Questionnaire!E64/I8)*M8</f>
        <v>14639.175257731958</v>
      </c>
    </row>
    <row r="11" spans="1:13">
      <c r="A11" s="93"/>
      <c r="B11" s="93"/>
      <c r="C11" s="93"/>
      <c r="D11" s="93"/>
      <c r="E11" s="93"/>
      <c r="F11" s="93"/>
      <c r="G11" s="93"/>
      <c r="H11" s="93"/>
      <c r="I11" s="93"/>
      <c r="J11" s="93"/>
    </row>
    <row r="12" spans="1:13">
      <c r="A12" s="93"/>
      <c r="B12" s="93" t="s">
        <v>126</v>
      </c>
      <c r="C12" s="93"/>
      <c r="D12" s="93"/>
      <c r="E12" s="93"/>
      <c r="F12" s="93"/>
      <c r="G12" s="93"/>
      <c r="H12" s="93"/>
      <c r="I12" s="93"/>
      <c r="J12" s="93"/>
    </row>
    <row r="13" spans="1:13">
      <c r="A13" s="93"/>
      <c r="B13" s="93"/>
      <c r="C13" s="93" t="s">
        <v>129</v>
      </c>
      <c r="D13" s="93"/>
      <c r="E13" s="93"/>
      <c r="F13" s="93"/>
      <c r="G13" s="93"/>
      <c r="H13" s="93"/>
      <c r="I13" s="314">
        <f>SUM(Questionnaire!I68)</f>
        <v>3073164</v>
      </c>
      <c r="J13" s="93"/>
    </row>
    <row r="14" spans="1:13">
      <c r="A14" s="93"/>
      <c r="B14" s="93"/>
      <c r="C14" s="93" t="s">
        <v>136</v>
      </c>
      <c r="D14" s="93"/>
      <c r="E14" s="93"/>
      <c r="F14" s="93"/>
      <c r="G14" s="93"/>
      <c r="H14" s="93"/>
      <c r="I14" s="137">
        <v>500000</v>
      </c>
      <c r="J14" s="93"/>
    </row>
    <row r="15" spans="1:13">
      <c r="A15" s="93"/>
      <c r="B15" s="93"/>
      <c r="C15" s="93" t="s">
        <v>130</v>
      </c>
      <c r="D15" s="93"/>
      <c r="E15" s="93"/>
      <c r="F15" s="93"/>
      <c r="G15" s="93"/>
      <c r="H15" s="93"/>
      <c r="I15" s="294">
        <f>SUM(I14)/I13</f>
        <v>0.1626987690861926</v>
      </c>
      <c r="J15" s="93"/>
    </row>
    <row r="16" spans="1:13">
      <c r="A16" s="93"/>
      <c r="B16" s="93"/>
      <c r="C16" s="93"/>
      <c r="D16" s="93"/>
      <c r="E16" s="93"/>
      <c r="F16" s="93"/>
      <c r="G16" s="93"/>
      <c r="H16" s="93"/>
      <c r="I16" s="93"/>
      <c r="J16" s="93"/>
    </row>
    <row r="17" spans="1:13">
      <c r="A17" s="93"/>
      <c r="B17" s="93"/>
      <c r="C17" s="93" t="s">
        <v>131</v>
      </c>
      <c r="D17" s="93"/>
      <c r="E17" s="93"/>
      <c r="F17" s="93"/>
      <c r="G17" s="93"/>
      <c r="H17" s="93"/>
      <c r="I17" s="275">
        <f>SUM('Worksheet 3 - Revenue'!N30)</f>
        <v>1123497.2407854614</v>
      </c>
      <c r="J17" s="93"/>
      <c r="K17" s="293">
        <f>SUM('Worksheet 3 - Revenue'!P30)</f>
        <v>110309.00744088969</v>
      </c>
      <c r="M17" s="293">
        <f>SUM('Worksheet 3 - Revenue'!Q30)</f>
        <v>548235.76698122174</v>
      </c>
    </row>
    <row r="18" spans="1:13">
      <c r="A18" s="93"/>
      <c r="B18" s="93"/>
      <c r="C18" s="93"/>
      <c r="D18" s="93"/>
      <c r="E18" s="93"/>
      <c r="F18" s="93"/>
      <c r="G18" s="93"/>
      <c r="H18" s="93"/>
      <c r="I18" s="93"/>
      <c r="J18" s="93"/>
    </row>
    <row r="19" spans="1:13">
      <c r="A19" s="93"/>
      <c r="B19" s="93"/>
      <c r="C19" s="93" t="s">
        <v>132</v>
      </c>
      <c r="D19" s="93"/>
      <c r="E19" s="93"/>
      <c r="F19" s="93"/>
      <c r="G19" s="93"/>
      <c r="H19" s="93"/>
      <c r="I19" s="275">
        <f>SUM(I15)*I17</f>
        <v>182791.61814752832</v>
      </c>
      <c r="J19" s="93"/>
      <c r="K19" s="295">
        <f>SUM(K17)*I15</f>
        <v>17947.139729752413</v>
      </c>
      <c r="M19" s="295">
        <f>SUM(M17)*I15</f>
        <v>89197.284456869485</v>
      </c>
    </row>
    <row r="20" spans="1:13">
      <c r="A20" s="93"/>
      <c r="B20" s="93"/>
      <c r="C20" s="93"/>
      <c r="D20" s="93"/>
      <c r="E20" s="93"/>
      <c r="F20" s="93"/>
      <c r="G20" s="93"/>
      <c r="H20" s="93"/>
      <c r="I20" s="93"/>
      <c r="J20" s="93"/>
    </row>
    <row r="21" spans="1:13">
      <c r="A21" s="93"/>
      <c r="B21" s="93" t="s">
        <v>133</v>
      </c>
      <c r="C21" s="93"/>
      <c r="D21" s="93"/>
      <c r="E21" s="93"/>
      <c r="F21" s="93"/>
      <c r="G21" s="93"/>
      <c r="H21" s="93"/>
      <c r="I21" s="314">
        <f>SUM(Questionnaire!E74)</f>
        <v>20000</v>
      </c>
      <c r="J21" s="93"/>
      <c r="K21" s="295">
        <f>SUM(I21/I8)*K8</f>
        <v>15601.374570446736</v>
      </c>
      <c r="M21" s="295">
        <f>SUM(I19/I8)*M8</f>
        <v>89197.2844568695</v>
      </c>
    </row>
    <row r="22" spans="1:13">
      <c r="A22" s="93"/>
      <c r="B22" s="93"/>
      <c r="C22" s="93"/>
      <c r="D22" s="93"/>
      <c r="E22" s="93"/>
      <c r="F22" s="93"/>
      <c r="G22" s="93"/>
      <c r="H22" s="93"/>
      <c r="I22" s="93"/>
      <c r="J22" s="93"/>
    </row>
    <row r="23" spans="1:13">
      <c r="A23" s="93"/>
      <c r="B23" s="93" t="s">
        <v>134</v>
      </c>
      <c r="C23" s="93"/>
      <c r="D23" s="93"/>
      <c r="E23" s="93"/>
      <c r="F23" s="93"/>
      <c r="G23" s="93"/>
      <c r="H23" s="93"/>
      <c r="I23" s="275">
        <f>SUM(I10)+I19+I21</f>
        <v>232791.61814752832</v>
      </c>
      <c r="J23" s="93"/>
      <c r="K23" s="296">
        <f>SUM(K10)+K19+K21</f>
        <v>56950.576155869254</v>
      </c>
      <c r="M23" s="293">
        <f>SUM(M10)+M19+M21</f>
        <v>193033.74417147093</v>
      </c>
    </row>
    <row r="24" spans="1:13">
      <c r="A24" s="93"/>
      <c r="B24" s="93"/>
      <c r="C24" s="93"/>
      <c r="D24" s="93"/>
      <c r="E24" s="93"/>
      <c r="F24" s="93"/>
      <c r="G24" s="93"/>
      <c r="H24" s="93"/>
      <c r="I24" s="93"/>
      <c r="J24" s="93"/>
    </row>
  </sheetData>
  <sheetProtection selectLockedCells="1"/>
  <mergeCells count="1">
    <mergeCell ref="A2:J2"/>
  </mergeCells>
  <pageMargins left="0.7" right="0.7" top="0.75" bottom="0.75" header="0.3" footer="0.3"/>
  <pageSetup orientation="landscape" horizontalDpi="300" verticalDpi="300" r:id="rId1"/>
  <headerFoot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Questionnaire</vt:lpstr>
      <vt:lpstr>Data for Poverty Levels</vt:lpstr>
      <vt:lpstr>Worksheet 1 - Demographics</vt:lpstr>
      <vt:lpstr>WS 2 - Estimating Poverty Level</vt:lpstr>
      <vt:lpstr>Worksheet 3 - Revenue</vt:lpstr>
      <vt:lpstr>Worksheet 4 - CHS Savings</vt:lpstr>
      <vt:lpstr>WS 5 - Poverty Level by Age </vt:lpstr>
      <vt:lpstr>Worksheet 6 - Premium Cost</vt:lpstr>
      <vt:lpstr>WS 7 - Other Operating Costs</vt:lpstr>
      <vt:lpstr>Summary Report</vt:lpstr>
      <vt:lpstr>Questionnaire!_ftn1</vt:lpstr>
      <vt:lpstr>Questionnaire!_ftnref1</vt:lpstr>
      <vt:lpstr>'Worksheet 3 - Revenue'!Print_Area</vt:lpstr>
      <vt:lpstr>'Worksheet 4 - CHS Savings'!Print_Area</vt:lpstr>
      <vt:lpstr>'WS 7 - Other Operating Costs'!Print_Area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Nachreiner</dc:creator>
  <cp:lastModifiedBy>New</cp:lastModifiedBy>
  <cp:lastPrinted>2017-06-14T12:04:34Z</cp:lastPrinted>
  <dcterms:created xsi:type="dcterms:W3CDTF">2011-10-18T15:31:46Z</dcterms:created>
  <dcterms:modified xsi:type="dcterms:W3CDTF">2017-06-20T01:21:38Z</dcterms:modified>
</cp:coreProperties>
</file>